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ผลงาน 2566\16. 31 ก.ค. 66\"/>
    </mc:Choice>
  </mc:AlternateContent>
  <xr:revisionPtr revIDLastSave="0" documentId="13_ncr:1_{A37DA538-AA95-47BA-B046-CC510C89F10E}" xr6:coauthVersionLast="47" xr6:coauthVersionMax="47" xr10:uidLastSave="{00000000-0000-0000-0000-000000000000}"/>
  <bookViews>
    <workbookView xWindow="-110" yWindow="-110" windowWidth="19420" windowHeight="10300" tabRatio="877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91029"/>
</workbook>
</file>

<file path=xl/calcChain.xml><?xml version="1.0" encoding="utf-8"?>
<calcChain xmlns="http://schemas.openxmlformats.org/spreadsheetml/2006/main">
  <c r="I824" i="10" l="1"/>
  <c r="I823" i="10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N815" i="15"/>
  <c r="M815" i="15"/>
  <c r="P815" i="15" s="1"/>
  <c r="L815" i="15"/>
  <c r="O815" i="15" s="1"/>
  <c r="P810" i="15"/>
  <c r="O810" i="15"/>
  <c r="N810" i="15"/>
  <c r="N808" i="15" s="1"/>
  <c r="P809" i="15"/>
  <c r="O809" i="15"/>
  <c r="P808" i="15"/>
  <c r="O808" i="15"/>
  <c r="M808" i="15"/>
  <c r="L808" i="15"/>
  <c r="M807" i="15"/>
  <c r="P807" i="15" s="1"/>
  <c r="L807" i="15"/>
  <c r="O807" i="15" s="1"/>
  <c r="N806" i="15"/>
  <c r="M806" i="15"/>
  <c r="P806" i="15" s="1"/>
  <c r="L806" i="15"/>
  <c r="O806" i="15" s="1"/>
  <c r="K804" i="15"/>
  <c r="J804" i="15"/>
  <c r="K802" i="15"/>
  <c r="J801" i="15"/>
  <c r="J800" i="15"/>
  <c r="J785" i="15" s="1"/>
  <c r="I800" i="15"/>
  <c r="I785" i="15" s="1"/>
  <c r="K785" i="15" s="1"/>
  <c r="P798" i="15"/>
  <c r="O798" i="15"/>
  <c r="P797" i="15"/>
  <c r="O797" i="15"/>
  <c r="O796" i="15"/>
  <c r="N796" i="15"/>
  <c r="M796" i="15"/>
  <c r="P796" i="15" s="1"/>
  <c r="L796" i="15"/>
  <c r="P791" i="15"/>
  <c r="N791" i="15"/>
  <c r="N789" i="15" s="1"/>
  <c r="L791" i="15"/>
  <c r="O791" i="15" s="1"/>
  <c r="P790" i="15"/>
  <c r="O790" i="15"/>
  <c r="M789" i="15"/>
  <c r="P789" i="15" s="1"/>
  <c r="N788" i="15"/>
  <c r="M788" i="15"/>
  <c r="M786" i="15" s="1"/>
  <c r="P786" i="15" s="1"/>
  <c r="P787" i="15"/>
  <c r="N787" i="15"/>
  <c r="N786" i="15" s="1"/>
  <c r="M787" i="15"/>
  <c r="L787" i="15"/>
  <c r="P782" i="15"/>
  <c r="O782" i="15"/>
  <c r="P781" i="15"/>
  <c r="O781" i="15"/>
  <c r="N780" i="15"/>
  <c r="M780" i="15"/>
  <c r="P780" i="15" s="1"/>
  <c r="L780" i="15"/>
  <c r="O780" i="15" s="1"/>
  <c r="P775" i="15"/>
  <c r="O775" i="15"/>
  <c r="N775" i="15"/>
  <c r="P774" i="15"/>
  <c r="O774" i="15"/>
  <c r="O773" i="15"/>
  <c r="N773" i="15"/>
  <c r="M773" i="15"/>
  <c r="P773" i="15" s="1"/>
  <c r="L773" i="15"/>
  <c r="P772" i="15"/>
  <c r="N772" i="15"/>
  <c r="M772" i="15"/>
  <c r="L772" i="15"/>
  <c r="P771" i="15"/>
  <c r="N771" i="15"/>
  <c r="M771" i="15"/>
  <c r="L771" i="15"/>
  <c r="O771" i="15" s="1"/>
  <c r="N770" i="15"/>
  <c r="M770" i="15"/>
  <c r="P770" i="15" s="1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P758" i="15"/>
  <c r="O758" i="15"/>
  <c r="O757" i="15"/>
  <c r="M757" i="15"/>
  <c r="P757" i="15" s="1"/>
  <c r="L757" i="15"/>
  <c r="P756" i="15"/>
  <c r="O756" i="15"/>
  <c r="M756" i="15"/>
  <c r="L756" i="15"/>
  <c r="N755" i="15"/>
  <c r="M755" i="15"/>
  <c r="L755" i="15"/>
  <c r="O755" i="15" s="1"/>
  <c r="K753" i="15"/>
  <c r="J753" i="15"/>
  <c r="P749" i="15"/>
  <c r="O749" i="15"/>
  <c r="P748" i="15"/>
  <c r="O748" i="15"/>
  <c r="N747" i="15"/>
  <c r="M747" i="15"/>
  <c r="P747" i="15" s="1"/>
  <c r="L747" i="15"/>
  <c r="O747" i="15" s="1"/>
  <c r="P742" i="15"/>
  <c r="O742" i="15"/>
  <c r="N742" i="15"/>
  <c r="P741" i="15"/>
  <c r="O741" i="15"/>
  <c r="O740" i="15"/>
  <c r="N740" i="15"/>
  <c r="M740" i="15"/>
  <c r="P740" i="15" s="1"/>
  <c r="L740" i="15"/>
  <c r="N739" i="15"/>
  <c r="M739" i="15"/>
  <c r="P739" i="15" s="1"/>
  <c r="L739" i="15"/>
  <c r="P738" i="15"/>
  <c r="N738" i="15"/>
  <c r="M738" i="15"/>
  <c r="L738" i="15"/>
  <c r="O738" i="15" s="1"/>
  <c r="N737" i="15"/>
  <c r="M737" i="15"/>
  <c r="P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N695" i="15"/>
  <c r="M695" i="15"/>
  <c r="P695" i="15" s="1"/>
  <c r="L695" i="15"/>
  <c r="O695" i="15" s="1"/>
  <c r="P690" i="15"/>
  <c r="N690" i="15"/>
  <c r="N687" i="15" s="1"/>
  <c r="L690" i="15"/>
  <c r="O690" i="15" s="1"/>
  <c r="P688" i="15"/>
  <c r="M688" i="15"/>
  <c r="P687" i="15"/>
  <c r="M687" i="15"/>
  <c r="N686" i="15"/>
  <c r="N685" i="15" s="1"/>
  <c r="M686" i="15"/>
  <c r="P686" i="15" s="1"/>
  <c r="L686" i="15"/>
  <c r="O686" i="15" s="1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5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L660" i="15"/>
  <c r="L657" i="15" s="1"/>
  <c r="P659" i="15"/>
  <c r="O659" i="15"/>
  <c r="N658" i="15"/>
  <c r="M658" i="15"/>
  <c r="P658" i="15" s="1"/>
  <c r="N657" i="15"/>
  <c r="M657" i="15"/>
  <c r="P657" i="15" s="1"/>
  <c r="P656" i="15"/>
  <c r="N656" i="15"/>
  <c r="M656" i="15"/>
  <c r="L656" i="15"/>
  <c r="O656" i="15" s="1"/>
  <c r="N655" i="15"/>
  <c r="M655" i="15"/>
  <c r="P655" i="15" s="1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N639" i="15"/>
  <c r="M639" i="15"/>
  <c r="P639" i="15" s="1"/>
  <c r="P634" i="15"/>
  <c r="N634" i="15"/>
  <c r="N631" i="15" s="1"/>
  <c r="L634" i="15"/>
  <c r="L632" i="15" s="1"/>
  <c r="O632" i="15" s="1"/>
  <c r="P633" i="15"/>
  <c r="O633" i="15"/>
  <c r="M632" i="15"/>
  <c r="P632" i="15" s="1"/>
  <c r="M631" i="15"/>
  <c r="P631" i="15" s="1"/>
  <c r="O630" i="15"/>
  <c r="N630" i="15"/>
  <c r="M630" i="15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J593" i="15"/>
  <c r="J592" i="15" s="1"/>
  <c r="I593" i="15"/>
  <c r="I592" i="15" s="1"/>
  <c r="K592" i="15" s="1"/>
  <c r="J583" i="15"/>
  <c r="J577" i="15" s="1"/>
  <c r="J582" i="15"/>
  <c r="J576" i="15" s="1"/>
  <c r="I577" i="15"/>
  <c r="I576" i="15"/>
  <c r="I559" i="15" s="1"/>
  <c r="I543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J559" i="15"/>
  <c r="P557" i="15"/>
  <c r="L557" i="15"/>
  <c r="O557" i="15" s="1"/>
  <c r="P556" i="15"/>
  <c r="O556" i="15"/>
  <c r="P555" i="15"/>
  <c r="N555" i="15"/>
  <c r="N545" i="15" s="1"/>
  <c r="N544" i="15" s="1"/>
  <c r="M555" i="15"/>
  <c r="N554" i="15"/>
  <c r="N553" i="15"/>
  <c r="N552" i="15"/>
  <c r="N549" i="15" s="1"/>
  <c r="N546" i="15" s="1"/>
  <c r="L549" i="15"/>
  <c r="O549" i="15" s="1"/>
  <c r="P548" i="15"/>
  <c r="O548" i="15"/>
  <c r="M545" i="15"/>
  <c r="L545" i="15"/>
  <c r="O545" i="15" s="1"/>
  <c r="I542" i="15"/>
  <c r="K542" i="15" s="1"/>
  <c r="I541" i="15"/>
  <c r="I540" i="15"/>
  <c r="K540" i="15" s="1"/>
  <c r="I539" i="15"/>
  <c r="K539" i="15" s="1"/>
  <c r="I538" i="15"/>
  <c r="K538" i="15" s="1"/>
  <c r="I537" i="15"/>
  <c r="I522" i="15" s="1"/>
  <c r="P535" i="15"/>
  <c r="L535" i="15"/>
  <c r="L533" i="15" s="1"/>
  <c r="O533" i="15" s="1"/>
  <c r="P534" i="15"/>
  <c r="O534" i="15"/>
  <c r="P533" i="15"/>
  <c r="N533" i="15"/>
  <c r="M533" i="15"/>
  <c r="N530" i="15"/>
  <c r="N528" i="15"/>
  <c r="L528" i="15"/>
  <c r="L526" i="15" s="1"/>
  <c r="P527" i="15"/>
  <c r="O527" i="15"/>
  <c r="N526" i="15"/>
  <c r="N525" i="15"/>
  <c r="P524" i="15"/>
  <c r="O524" i="15"/>
  <c r="N524" i="15"/>
  <c r="M524" i="15"/>
  <c r="L524" i="15"/>
  <c r="K517" i="15"/>
  <c r="J517" i="15"/>
  <c r="J501" i="15" s="1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N505" i="15"/>
  <c r="M505" i="15"/>
  <c r="P505" i="15" s="1"/>
  <c r="L505" i="15"/>
  <c r="O505" i="15" s="1"/>
  <c r="N504" i="15"/>
  <c r="M504" i="15"/>
  <c r="P504" i="15" s="1"/>
  <c r="L504" i="15"/>
  <c r="O504" i="15" s="1"/>
  <c r="P503" i="15"/>
  <c r="O503" i="15"/>
  <c r="N503" i="15"/>
  <c r="M503" i="15"/>
  <c r="L503" i="15"/>
  <c r="M502" i="15"/>
  <c r="P502" i="15" s="1"/>
  <c r="L502" i="15"/>
  <c r="O502" i="15" s="1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N472" i="15"/>
  <c r="L472" i="15"/>
  <c r="L470" i="15" s="1"/>
  <c r="P471" i="15"/>
  <c r="O471" i="15"/>
  <c r="O468" i="15"/>
  <c r="N468" i="15"/>
  <c r="M468" i="15"/>
  <c r="L468" i="15"/>
  <c r="J466" i="15"/>
  <c r="I466" i="15"/>
  <c r="K466" i="15" s="1"/>
  <c r="J465" i="15"/>
  <c r="I465" i="15"/>
  <c r="K465" i="15" s="1"/>
  <c r="I464" i="15"/>
  <c r="I463" i="15"/>
  <c r="I462" i="15"/>
  <c r="I443" i="15" s="1"/>
  <c r="K443" i="15" s="1"/>
  <c r="I460" i="15"/>
  <c r="I442" i="15" s="1"/>
  <c r="K458" i="15"/>
  <c r="P456" i="15"/>
  <c r="L456" i="15"/>
  <c r="P455" i="15"/>
  <c r="O455" i="15"/>
  <c r="N454" i="15"/>
  <c r="M454" i="15"/>
  <c r="P454" i="15" s="1"/>
  <c r="N453" i="15"/>
  <c r="N452" i="15"/>
  <c r="N450" i="15"/>
  <c r="N449" i="15"/>
  <c r="L449" i="15"/>
  <c r="L447" i="15" s="1"/>
  <c r="P448" i="15"/>
  <c r="O448" i="15"/>
  <c r="N445" i="15"/>
  <c r="M445" i="15"/>
  <c r="P445" i="15" s="1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I435" i="15"/>
  <c r="I433" i="15" s="1"/>
  <c r="I417" i="15" s="1"/>
  <c r="J434" i="15"/>
  <c r="P431" i="15"/>
  <c r="L431" i="15"/>
  <c r="P430" i="15"/>
  <c r="O430" i="15"/>
  <c r="N429" i="15"/>
  <c r="M429" i="15"/>
  <c r="P429" i="15" s="1"/>
  <c r="N428" i="15"/>
  <c r="N425" i="15"/>
  <c r="N424" i="15" s="1"/>
  <c r="N422" i="15" s="1"/>
  <c r="L424" i="15"/>
  <c r="P423" i="15"/>
  <c r="O423" i="15"/>
  <c r="N421" i="15"/>
  <c r="N419" i="15" s="1"/>
  <c r="O420" i="15"/>
  <c r="N420" i="15"/>
  <c r="M420" i="15"/>
  <c r="L420" i="15"/>
  <c r="J418" i="15"/>
  <c r="K413" i="15"/>
  <c r="K412" i="15"/>
  <c r="N410" i="15"/>
  <c r="N408" i="15" s="1"/>
  <c r="M410" i="15"/>
  <c r="M408" i="15" s="1"/>
  <c r="P408" i="15" s="1"/>
  <c r="L410" i="15"/>
  <c r="O410" i="15" s="1"/>
  <c r="P409" i="15"/>
  <c r="O409" i="15"/>
  <c r="N407" i="15"/>
  <c r="M407" i="15"/>
  <c r="P407" i="15" s="1"/>
  <c r="L407" i="15"/>
  <c r="P406" i="15"/>
  <c r="O406" i="15"/>
  <c r="O403" i="15"/>
  <c r="N403" i="15"/>
  <c r="M403" i="15"/>
  <c r="L403" i="15"/>
  <c r="K401" i="15"/>
  <c r="J401" i="15"/>
  <c r="I401" i="15"/>
  <c r="K400" i="15"/>
  <c r="K399" i="15"/>
  <c r="N397" i="15"/>
  <c r="N395" i="15" s="1"/>
  <c r="M397" i="15"/>
  <c r="L397" i="15"/>
  <c r="P396" i="15"/>
  <c r="O396" i="15"/>
  <c r="N394" i="15"/>
  <c r="N392" i="15" s="1"/>
  <c r="M394" i="15"/>
  <c r="M392" i="15" s="1"/>
  <c r="P392" i="15" s="1"/>
  <c r="L394" i="15"/>
  <c r="O394" i="15" s="1"/>
  <c r="P393" i="15"/>
  <c r="O393" i="15"/>
  <c r="O390" i="15"/>
  <c r="N390" i="15"/>
  <c r="M390" i="15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L351" i="15" s="1"/>
  <c r="P352" i="15"/>
  <c r="O352" i="15"/>
  <c r="N350" i="15"/>
  <c r="M350" i="15"/>
  <c r="M348" i="15" s="1"/>
  <c r="L350" i="15"/>
  <c r="L348" i="15" s="1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P335" i="15"/>
  <c r="O335" i="15"/>
  <c r="N333" i="15"/>
  <c r="M333" i="15"/>
  <c r="L333" i="15"/>
  <c r="L331" i="15" s="1"/>
  <c r="P332" i="15"/>
  <c r="O332" i="15"/>
  <c r="P329" i="15"/>
  <c r="N329" i="15"/>
  <c r="M329" i="15"/>
  <c r="L329" i="15"/>
  <c r="O329" i="15" s="1"/>
  <c r="I327" i="15"/>
  <c r="I325" i="15"/>
  <c r="K325" i="15" s="1"/>
  <c r="N323" i="15"/>
  <c r="N321" i="15" s="1"/>
  <c r="M323" i="15"/>
  <c r="M321" i="15" s="1"/>
  <c r="P321" i="15" s="1"/>
  <c r="L323" i="15"/>
  <c r="O323" i="15" s="1"/>
  <c r="P322" i="15"/>
  <c r="O322" i="15"/>
  <c r="N320" i="15"/>
  <c r="N318" i="15" s="1"/>
  <c r="M320" i="15"/>
  <c r="M318" i="15" s="1"/>
  <c r="L320" i="15"/>
  <c r="P319" i="15"/>
  <c r="O319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L306" i="15"/>
  <c r="O306" i="15" s="1"/>
  <c r="P305" i="15"/>
  <c r="O305" i="15"/>
  <c r="N303" i="15"/>
  <c r="M303" i="15"/>
  <c r="L303" i="15"/>
  <c r="L301" i="15" s="1"/>
  <c r="P302" i="15"/>
  <c r="O302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K287" i="15" s="1"/>
  <c r="N285" i="15"/>
  <c r="N283" i="15" s="1"/>
  <c r="M285" i="15"/>
  <c r="M283" i="15" s="1"/>
  <c r="P283" i="15" s="1"/>
  <c r="L285" i="15"/>
  <c r="L283" i="15" s="1"/>
  <c r="O283" i="15" s="1"/>
  <c r="P284" i="15"/>
  <c r="O284" i="15"/>
  <c r="N282" i="15"/>
  <c r="N280" i="15" s="1"/>
  <c r="M282" i="15"/>
  <c r="L282" i="15"/>
  <c r="P281" i="15"/>
  <c r="O281" i="15"/>
  <c r="N278" i="15"/>
  <c r="M278" i="15"/>
  <c r="P278" i="15" s="1"/>
  <c r="L278" i="15"/>
  <c r="J276" i="15"/>
  <c r="I271" i="15"/>
  <c r="K271" i="15" s="1"/>
  <c r="N269" i="15"/>
  <c r="N267" i="15" s="1"/>
  <c r="M269" i="15"/>
  <c r="M267" i="15" s="1"/>
  <c r="P267" i="15" s="1"/>
  <c r="L269" i="15"/>
  <c r="L267" i="15" s="1"/>
  <c r="O267" i="15" s="1"/>
  <c r="P268" i="15"/>
  <c r="O268" i="15"/>
  <c r="N266" i="15"/>
  <c r="N264" i="15" s="1"/>
  <c r="M266" i="15"/>
  <c r="M264" i="15" s="1"/>
  <c r="L266" i="15"/>
  <c r="P265" i="15"/>
  <c r="O265" i="15"/>
  <c r="P262" i="15"/>
  <c r="O262" i="15"/>
  <c r="N262" i="15"/>
  <c r="M262" i="15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J237" i="15"/>
  <c r="J226" i="15" s="1"/>
  <c r="J180" i="15" s="1"/>
  <c r="K236" i="15"/>
  <c r="J236" i="15"/>
  <c r="I236" i="15"/>
  <c r="J235" i="15"/>
  <c r="I235" i="15"/>
  <c r="K235" i="15" s="1"/>
  <c r="J233" i="15"/>
  <c r="N231" i="15"/>
  <c r="N230" i="15"/>
  <c r="N229" i="15"/>
  <c r="N228" i="15"/>
  <c r="N227" i="15"/>
  <c r="I225" i="15"/>
  <c r="K225" i="15" s="1"/>
  <c r="I224" i="15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L187" i="15" s="1"/>
  <c r="O187" i="15" s="1"/>
  <c r="P188" i="15"/>
  <c r="O188" i="15"/>
  <c r="N186" i="15"/>
  <c r="M186" i="15"/>
  <c r="L186" i="15"/>
  <c r="P185" i="15"/>
  <c r="O185" i="15"/>
  <c r="P182" i="15"/>
  <c r="O182" i="15"/>
  <c r="N182" i="15"/>
  <c r="M182" i="15"/>
  <c r="L182" i="15"/>
  <c r="J177" i="15"/>
  <c r="I176" i="15"/>
  <c r="J174" i="15"/>
  <c r="J164" i="15" s="1"/>
  <c r="N173" i="15"/>
  <c r="N171" i="15" s="1"/>
  <c r="M173" i="15"/>
  <c r="P173" i="15" s="1"/>
  <c r="L173" i="15"/>
  <c r="P172" i="15"/>
  <c r="O172" i="15"/>
  <c r="N170" i="15"/>
  <c r="N168" i="15" s="1"/>
  <c r="M170" i="15"/>
  <c r="L170" i="15"/>
  <c r="P169" i="15"/>
  <c r="O169" i="15"/>
  <c r="P166" i="15"/>
  <c r="O166" i="15"/>
  <c r="N166" i="15"/>
  <c r="M166" i="15"/>
  <c r="L166" i="15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L154" i="15"/>
  <c r="P153" i="15"/>
  <c r="O153" i="15"/>
  <c r="N150" i="15"/>
  <c r="M150" i="15"/>
  <c r="L150" i="15"/>
  <c r="J148" i="15"/>
  <c r="I146" i="15"/>
  <c r="I130" i="15" s="1"/>
  <c r="K130" i="15" s="1"/>
  <c r="I145" i="15"/>
  <c r="I144" i="15"/>
  <c r="K144" i="15" s="1"/>
  <c r="N140" i="15"/>
  <c r="M140" i="15"/>
  <c r="M138" i="15" s="1"/>
  <c r="L140" i="15"/>
  <c r="P139" i="15"/>
  <c r="O139" i="15"/>
  <c r="N137" i="15"/>
  <c r="N135" i="15" s="1"/>
  <c r="M137" i="15"/>
  <c r="M135" i="15" s="1"/>
  <c r="L137" i="15"/>
  <c r="P136" i="15"/>
  <c r="O136" i="15"/>
  <c r="P133" i="15"/>
  <c r="O133" i="15"/>
  <c r="N133" i="15"/>
  <c r="M133" i="15"/>
  <c r="L133" i="15"/>
  <c r="J130" i="15"/>
  <c r="N127" i="15"/>
  <c r="N125" i="15" s="1"/>
  <c r="M127" i="15"/>
  <c r="M125" i="15" s="1"/>
  <c r="P125" i="15" s="1"/>
  <c r="L127" i="15"/>
  <c r="O127" i="15" s="1"/>
  <c r="P126" i="15"/>
  <c r="O126" i="15"/>
  <c r="N124" i="15"/>
  <c r="N122" i="15" s="1"/>
  <c r="M124" i="15"/>
  <c r="P124" i="15" s="1"/>
  <c r="L124" i="15"/>
  <c r="P123" i="15"/>
  <c r="O123" i="15"/>
  <c r="N120" i="15"/>
  <c r="M120" i="15"/>
  <c r="L120" i="15"/>
  <c r="J118" i="15"/>
  <c r="K118" i="15" s="1"/>
  <c r="I116" i="15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I87" i="15" s="1"/>
  <c r="K87" i="15" s="1"/>
  <c r="J98" i="15"/>
  <c r="I98" i="15"/>
  <c r="K98" i="15" s="1"/>
  <c r="N96" i="15"/>
  <c r="N94" i="15" s="1"/>
  <c r="M96" i="15"/>
  <c r="P96" i="15" s="1"/>
  <c r="L96" i="15"/>
  <c r="O96" i="15" s="1"/>
  <c r="P95" i="15"/>
  <c r="O95" i="15"/>
  <c r="N93" i="15"/>
  <c r="N91" i="15" s="1"/>
  <c r="M93" i="15"/>
  <c r="L93" i="15"/>
  <c r="L91" i="15" s="1"/>
  <c r="P92" i="15"/>
  <c r="O92" i="15"/>
  <c r="P89" i="15"/>
  <c r="N89" i="15"/>
  <c r="M89" i="15"/>
  <c r="L89" i="15"/>
  <c r="O89" i="15" s="1"/>
  <c r="J86" i="15"/>
  <c r="I84" i="15"/>
  <c r="K84" i="15" s="1"/>
  <c r="I83" i="15"/>
  <c r="K83" i="15" s="1"/>
  <c r="I82" i="15"/>
  <c r="K82" i="15" s="1"/>
  <c r="I81" i="15"/>
  <c r="I80" i="15"/>
  <c r="K80" i="15" s="1"/>
  <c r="I79" i="15"/>
  <c r="K79" i="15" s="1"/>
  <c r="I78" i="15"/>
  <c r="J77" i="15"/>
  <c r="J65" i="15" s="1"/>
  <c r="J76" i="15"/>
  <c r="N74" i="15"/>
  <c r="M74" i="15"/>
  <c r="M72" i="15" s="1"/>
  <c r="P72" i="15" s="1"/>
  <c r="L74" i="15"/>
  <c r="L72" i="15" s="1"/>
  <c r="O72" i="15" s="1"/>
  <c r="P73" i="15"/>
  <c r="O73" i="15"/>
  <c r="N71" i="15"/>
  <c r="N69" i="15" s="1"/>
  <c r="M71" i="15"/>
  <c r="M69" i="15" s="1"/>
  <c r="L71" i="15"/>
  <c r="P70" i="15"/>
  <c r="O70" i="15"/>
  <c r="N67" i="15"/>
  <c r="M67" i="15"/>
  <c r="P67" i="15" s="1"/>
  <c r="L67" i="15"/>
  <c r="J64" i="15"/>
  <c r="N61" i="15"/>
  <c r="N59" i="15" s="1"/>
  <c r="M61" i="15"/>
  <c r="L61" i="15"/>
  <c r="P60" i="15"/>
  <c r="O60" i="15"/>
  <c r="N58" i="15"/>
  <c r="M58" i="15"/>
  <c r="L58" i="15"/>
  <c r="P57" i="15"/>
  <c r="O57" i="15"/>
  <c r="P54" i="15"/>
  <c r="O54" i="15"/>
  <c r="N54" i="15"/>
  <c r="M54" i="15"/>
  <c r="L54" i="15"/>
  <c r="N49" i="15"/>
  <c r="N47" i="15" s="1"/>
  <c r="M49" i="15"/>
  <c r="M47" i="15" s="1"/>
  <c r="P47" i="15" s="1"/>
  <c r="L49" i="15"/>
  <c r="O49" i="15" s="1"/>
  <c r="P48" i="15"/>
  <c r="O48" i="15"/>
  <c r="N46" i="15"/>
  <c r="M46" i="15"/>
  <c r="L46" i="15"/>
  <c r="P45" i="15"/>
  <c r="O45" i="15"/>
  <c r="P42" i="15"/>
  <c r="O42" i="15"/>
  <c r="N42" i="15"/>
  <c r="M42" i="15"/>
  <c r="L42" i="15"/>
  <c r="N36" i="15"/>
  <c r="M36" i="15"/>
  <c r="P36" i="15" s="1"/>
  <c r="N35" i="15"/>
  <c r="N29" i="15" s="1"/>
  <c r="M35" i="15"/>
  <c r="P35" i="15" s="1"/>
  <c r="L35" i="15"/>
  <c r="N34" i="15"/>
  <c r="N33" i="15"/>
  <c r="N30" i="15" s="1"/>
  <c r="P32" i="15"/>
  <c r="N32" i="15"/>
  <c r="M32" i="15"/>
  <c r="M29" i="15" s="1"/>
  <c r="L32" i="15"/>
  <c r="O32" i="15" s="1"/>
  <c r="P29" i="15"/>
  <c r="N28" i="15"/>
  <c r="P25" i="15"/>
  <c r="O25" i="15"/>
  <c r="N25" i="15"/>
  <c r="M25" i="15"/>
  <c r="L25" i="15"/>
  <c r="P22" i="15"/>
  <c r="O22" i="15"/>
  <c r="N22" i="15"/>
  <c r="M22" i="15"/>
  <c r="M12" i="15" s="1"/>
  <c r="L22" i="15"/>
  <c r="L19" i="15"/>
  <c r="M15" i="15"/>
  <c r="O12" i="15"/>
  <c r="N12" i="15"/>
  <c r="L12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O808" i="14"/>
  <c r="N808" i="14"/>
  <c r="M808" i="14"/>
  <c r="L808" i="14"/>
  <c r="O807" i="14"/>
  <c r="M807" i="14"/>
  <c r="L807" i="14"/>
  <c r="P806" i="14"/>
  <c r="N806" i="14"/>
  <c r="M806" i="14"/>
  <c r="L806" i="14"/>
  <c r="K804" i="14"/>
  <c r="J804" i="14"/>
  <c r="K802" i="14"/>
  <c r="J801" i="14"/>
  <c r="J800" i="14"/>
  <c r="J785" i="14" s="1"/>
  <c r="I800" i="14"/>
  <c r="I785" i="14" s="1"/>
  <c r="K785" i="14" s="1"/>
  <c r="P798" i="14"/>
  <c r="O798" i="14"/>
  <c r="P797" i="14"/>
  <c r="O797" i="14"/>
  <c r="O796" i="14"/>
  <c r="N796" i="14"/>
  <c r="M796" i="14"/>
  <c r="P796" i="14" s="1"/>
  <c r="L796" i="14"/>
  <c r="P791" i="14"/>
  <c r="N791" i="14"/>
  <c r="L791" i="14"/>
  <c r="L789" i="14" s="1"/>
  <c r="O789" i="14" s="1"/>
  <c r="P790" i="14"/>
  <c r="O790" i="14"/>
  <c r="P789" i="14"/>
  <c r="M789" i="14"/>
  <c r="M788" i="14"/>
  <c r="M786" i="14" s="1"/>
  <c r="P786" i="14" s="1"/>
  <c r="P787" i="14"/>
  <c r="N787" i="14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P774" i="14"/>
  <c r="O774" i="14"/>
  <c r="O773" i="14"/>
  <c r="N773" i="14"/>
  <c r="M773" i="14"/>
  <c r="P773" i="14" s="1"/>
  <c r="L773" i="14"/>
  <c r="P772" i="14"/>
  <c r="N772" i="14"/>
  <c r="N770" i="14" s="1"/>
  <c r="M772" i="14"/>
  <c r="L772" i="14"/>
  <c r="P771" i="14"/>
  <c r="O771" i="14"/>
  <c r="N771" i="14"/>
  <c r="M771" i="14"/>
  <c r="L771" i="14"/>
  <c r="P770" i="14"/>
  <c r="M770" i="14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P758" i="14"/>
  <c r="O758" i="14"/>
  <c r="O757" i="14"/>
  <c r="M757" i="14"/>
  <c r="P757" i="14" s="1"/>
  <c r="L757" i="14"/>
  <c r="P756" i="14"/>
  <c r="O756" i="14"/>
  <c r="M756" i="14"/>
  <c r="L756" i="14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P741" i="14"/>
  <c r="O741" i="14"/>
  <c r="O740" i="14"/>
  <c r="N740" i="14"/>
  <c r="M740" i="14"/>
  <c r="P740" i="14" s="1"/>
  <c r="L740" i="14"/>
  <c r="P739" i="14"/>
  <c r="N739" i="14"/>
  <c r="N737" i="14" s="1"/>
  <c r="M739" i="14"/>
  <c r="L739" i="14"/>
  <c r="P738" i="14"/>
  <c r="O738" i="14"/>
  <c r="N738" i="14"/>
  <c r="M738" i="14"/>
  <c r="L738" i="14"/>
  <c r="P737" i="14"/>
  <c r="M737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N695" i="14"/>
  <c r="M695" i="14"/>
  <c r="P695" i="14" s="1"/>
  <c r="L695" i="14"/>
  <c r="O695" i="14" s="1"/>
  <c r="P690" i="14"/>
  <c r="N690" i="14"/>
  <c r="L690" i="14"/>
  <c r="O690" i="14" s="1"/>
  <c r="N688" i="14"/>
  <c r="M688" i="14"/>
  <c r="P688" i="14" s="1"/>
  <c r="P687" i="14"/>
  <c r="N687" i="14"/>
  <c r="M687" i="14"/>
  <c r="P686" i="14"/>
  <c r="N686" i="14"/>
  <c r="N685" i="14" s="1"/>
  <c r="M686" i="14"/>
  <c r="L686" i="14"/>
  <c r="O686" i="14" s="1"/>
  <c r="M685" i="14"/>
  <c r="P685" i="14" s="1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K675" i="14" s="1"/>
  <c r="P667" i="14"/>
  <c r="O667" i="14"/>
  <c r="P666" i="14"/>
  <c r="O666" i="14"/>
  <c r="N665" i="14"/>
  <c r="M665" i="14"/>
  <c r="P665" i="14" s="1"/>
  <c r="L665" i="14"/>
  <c r="O665" i="14" s="1"/>
  <c r="P660" i="14"/>
  <c r="N660" i="14"/>
  <c r="N658" i="14" s="1"/>
  <c r="L660" i="14"/>
  <c r="L658" i="14" s="1"/>
  <c r="O658" i="14" s="1"/>
  <c r="P659" i="14"/>
  <c r="O659" i="14"/>
  <c r="M658" i="14"/>
  <c r="P658" i="14" s="1"/>
  <c r="N657" i="14"/>
  <c r="M657" i="14"/>
  <c r="P657" i="14" s="1"/>
  <c r="P656" i="14"/>
  <c r="O656" i="14"/>
  <c r="N656" i="14"/>
  <c r="M656" i="14"/>
  <c r="L656" i="14"/>
  <c r="P655" i="14"/>
  <c r="N655" i="14"/>
  <c r="M655" i="14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P639" i="14"/>
  <c r="N639" i="14"/>
  <c r="M639" i="14"/>
  <c r="P634" i="14"/>
  <c r="N634" i="14"/>
  <c r="N631" i="14" s="1"/>
  <c r="N629" i="14" s="1"/>
  <c r="L634" i="14"/>
  <c r="L632" i="14" s="1"/>
  <c r="O632" i="14" s="1"/>
  <c r="P633" i="14"/>
  <c r="O633" i="14"/>
  <c r="M632" i="14"/>
  <c r="P632" i="14" s="1"/>
  <c r="P631" i="14"/>
  <c r="M631" i="14"/>
  <c r="O630" i="14"/>
  <c r="N630" i="14"/>
  <c r="M630" i="14"/>
  <c r="P630" i="14" s="1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I594" i="14"/>
  <c r="J593" i="14"/>
  <c r="J592" i="14" s="1"/>
  <c r="I593" i="14"/>
  <c r="I592" i="14" s="1"/>
  <c r="J583" i="14"/>
  <c r="J582" i="14"/>
  <c r="J576" i="14" s="1"/>
  <c r="J577" i="14"/>
  <c r="I577" i="14"/>
  <c r="K577" i="14" s="1"/>
  <c r="I576" i="14"/>
  <c r="I559" i="14" s="1"/>
  <c r="J569" i="14"/>
  <c r="I569" i="14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P555" i="14"/>
  <c r="N555" i="14"/>
  <c r="M555" i="14"/>
  <c r="N553" i="14"/>
  <c r="N549" i="14" s="1"/>
  <c r="N552" i="14"/>
  <c r="L549" i="14"/>
  <c r="P548" i="14"/>
  <c r="O548" i="14"/>
  <c r="P545" i="14"/>
  <c r="O545" i="14"/>
  <c r="N545" i="14"/>
  <c r="M545" i="14"/>
  <c r="L545" i="14"/>
  <c r="I542" i="14"/>
  <c r="K542" i="14" s="1"/>
  <c r="I541" i="14"/>
  <c r="K541" i="14" s="1"/>
  <c r="I540" i="14"/>
  <c r="I539" i="14"/>
  <c r="K539" i="14" s="1"/>
  <c r="I538" i="14"/>
  <c r="K538" i="14" s="1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P528" i="14"/>
  <c r="N528" i="14"/>
  <c r="L528" i="14"/>
  <c r="O528" i="14" s="1"/>
  <c r="P527" i="14"/>
  <c r="O527" i="14"/>
  <c r="N526" i="14"/>
  <c r="M526" i="14"/>
  <c r="P526" i="14" s="1"/>
  <c r="P525" i="14"/>
  <c r="N525" i="14"/>
  <c r="N523" i="14" s="1"/>
  <c r="M525" i="14"/>
  <c r="O524" i="14"/>
  <c r="N524" i="14"/>
  <c r="M524" i="14"/>
  <c r="L524" i="14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P506" i="14"/>
  <c r="O506" i="14"/>
  <c r="M505" i="14"/>
  <c r="P505" i="14" s="1"/>
  <c r="L505" i="14"/>
  <c r="O505" i="14" s="1"/>
  <c r="P504" i="14"/>
  <c r="O504" i="14"/>
  <c r="M504" i="14"/>
  <c r="L504" i="14"/>
  <c r="O503" i="14"/>
  <c r="N503" i="14"/>
  <c r="M503" i="14"/>
  <c r="L503" i="14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N476" i="14"/>
  <c r="N472" i="14"/>
  <c r="L472" i="14"/>
  <c r="P471" i="14"/>
  <c r="O471" i="14"/>
  <c r="O468" i="14"/>
  <c r="N468" i="14"/>
  <c r="M468" i="14"/>
  <c r="L468" i="14"/>
  <c r="J466" i="14"/>
  <c r="I466" i="14"/>
  <c r="K466" i="14" s="1"/>
  <c r="J465" i="14"/>
  <c r="I465" i="14"/>
  <c r="I464" i="14"/>
  <c r="I463" i="14"/>
  <c r="I462" i="14"/>
  <c r="I460" i="14"/>
  <c r="K460" i="14" s="1"/>
  <c r="K458" i="14"/>
  <c r="P456" i="14"/>
  <c r="L456" i="14"/>
  <c r="P455" i="14"/>
  <c r="O455" i="14"/>
  <c r="P454" i="14"/>
  <c r="N454" i="14"/>
  <c r="M454" i="14"/>
  <c r="P449" i="14"/>
  <c r="N449" i="14"/>
  <c r="N446" i="14" s="1"/>
  <c r="L449" i="14"/>
  <c r="P448" i="14"/>
  <c r="O448" i="14"/>
  <c r="M447" i="14"/>
  <c r="P447" i="14" s="1"/>
  <c r="P446" i="14"/>
  <c r="M446" i="14"/>
  <c r="P445" i="14"/>
  <c r="N445" i="14"/>
  <c r="M445" i="14"/>
  <c r="L445" i="14"/>
  <c r="O445" i="14" s="1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I433" i="14" s="1"/>
  <c r="I417" i="14" s="1"/>
  <c r="J434" i="14"/>
  <c r="J418" i="14" s="1"/>
  <c r="P431" i="14"/>
  <c r="L431" i="14"/>
  <c r="O431" i="14" s="1"/>
  <c r="P430" i="14"/>
  <c r="O430" i="14"/>
  <c r="N429" i="14"/>
  <c r="M429" i="14"/>
  <c r="P429" i="14" s="1"/>
  <c r="N428" i="14"/>
  <c r="N424" i="14" s="1"/>
  <c r="L424" i="14"/>
  <c r="L422" i="14" s="1"/>
  <c r="P423" i="14"/>
  <c r="O423" i="14"/>
  <c r="N420" i="14"/>
  <c r="M420" i="14"/>
  <c r="P420" i="14" s="1"/>
  <c r="L420" i="14"/>
  <c r="K413" i="14"/>
  <c r="K412" i="14"/>
  <c r="N410" i="14"/>
  <c r="N408" i="14" s="1"/>
  <c r="M410" i="14"/>
  <c r="M408" i="14" s="1"/>
  <c r="P408" i="14" s="1"/>
  <c r="L410" i="14"/>
  <c r="O410" i="14" s="1"/>
  <c r="P409" i="14"/>
  <c r="O409" i="14"/>
  <c r="N407" i="14"/>
  <c r="M407" i="14"/>
  <c r="L407" i="14"/>
  <c r="P406" i="14"/>
  <c r="O406" i="14"/>
  <c r="P403" i="14"/>
  <c r="O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L397" i="14"/>
  <c r="O397" i="14" s="1"/>
  <c r="P396" i="14"/>
  <c r="O396" i="14"/>
  <c r="N394" i="14"/>
  <c r="N392" i="14" s="1"/>
  <c r="M394" i="14"/>
  <c r="M392" i="14" s="1"/>
  <c r="P392" i="14" s="1"/>
  <c r="L394" i="14"/>
  <c r="O394" i="14" s="1"/>
  <c r="P393" i="14"/>
  <c r="O393" i="14"/>
  <c r="N390" i="14"/>
  <c r="M390" i="14"/>
  <c r="P390" i="14" s="1"/>
  <c r="L390" i="14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L351" i="14" s="1"/>
  <c r="P352" i="14"/>
  <c r="O352" i="14"/>
  <c r="N350" i="14"/>
  <c r="N348" i="14" s="1"/>
  <c r="M350" i="14"/>
  <c r="L350" i="14"/>
  <c r="L348" i="14" s="1"/>
  <c r="P349" i="14"/>
  <c r="O349" i="14"/>
  <c r="P346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M333" i="14"/>
  <c r="M331" i="14" s="1"/>
  <c r="L333" i="14"/>
  <c r="L331" i="14" s="1"/>
  <c r="P332" i="14"/>
  <c r="O332" i="14"/>
  <c r="P329" i="14"/>
  <c r="N329" i="14"/>
  <c r="M329" i="14"/>
  <c r="L329" i="14"/>
  <c r="O329" i="14" s="1"/>
  <c r="I327" i="14"/>
  <c r="I325" i="14"/>
  <c r="K325" i="14" s="1"/>
  <c r="N323" i="14"/>
  <c r="M323" i="14"/>
  <c r="M321" i="14" s="1"/>
  <c r="P321" i="14" s="1"/>
  <c r="L323" i="14"/>
  <c r="P322" i="14"/>
  <c r="O322" i="14"/>
  <c r="N320" i="14"/>
  <c r="N318" i="14" s="1"/>
  <c r="M320" i="14"/>
  <c r="L320" i="14"/>
  <c r="L318" i="14" s="1"/>
  <c r="O318" i="14" s="1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N306" i="14"/>
  <c r="N304" i="14" s="1"/>
  <c r="M306" i="14"/>
  <c r="M304" i="14" s="1"/>
  <c r="P304" i="14" s="1"/>
  <c r="L306" i="14"/>
  <c r="L304" i="14" s="1"/>
  <c r="O304" i="14" s="1"/>
  <c r="P305" i="14"/>
  <c r="O305" i="14"/>
  <c r="N303" i="14"/>
  <c r="N301" i="14" s="1"/>
  <c r="M303" i="14"/>
  <c r="L303" i="14"/>
  <c r="P302" i="14"/>
  <c r="O302" i="14"/>
  <c r="O299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I276" i="14" s="1"/>
  <c r="K276" i="14" s="1"/>
  <c r="N285" i="14"/>
  <c r="N283" i="14" s="1"/>
  <c r="M285" i="14"/>
  <c r="M283" i="14" s="1"/>
  <c r="P283" i="14" s="1"/>
  <c r="L285" i="14"/>
  <c r="P284" i="14"/>
  <c r="O284" i="14"/>
  <c r="N282" i="14"/>
  <c r="M282" i="14"/>
  <c r="M280" i="14" s="1"/>
  <c r="P280" i="14" s="1"/>
  <c r="L282" i="14"/>
  <c r="P281" i="14"/>
  <c r="O281" i="14"/>
  <c r="N278" i="14"/>
  <c r="M278" i="14"/>
  <c r="L278" i="14"/>
  <c r="O278" i="14" s="1"/>
  <c r="J276" i="14"/>
  <c r="I271" i="14"/>
  <c r="K271" i="14" s="1"/>
  <c r="N269" i="14"/>
  <c r="M269" i="14"/>
  <c r="L269" i="14"/>
  <c r="L267" i="14" s="1"/>
  <c r="O267" i="14" s="1"/>
  <c r="P268" i="14"/>
  <c r="O268" i="14"/>
  <c r="N266" i="14"/>
  <c r="M266" i="14"/>
  <c r="L266" i="14"/>
  <c r="P265" i="14"/>
  <c r="O265" i="14"/>
  <c r="P262" i="14"/>
  <c r="N262" i="14"/>
  <c r="M262" i="14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J226" i="14" s="1"/>
  <c r="K247" i="14"/>
  <c r="K246" i="14"/>
  <c r="I244" i="14"/>
  <c r="I237" i="14" s="1"/>
  <c r="K237" i="14" s="1"/>
  <c r="L242" i="14"/>
  <c r="L241" i="14"/>
  <c r="L240" i="14"/>
  <c r="L239" i="14"/>
  <c r="P238" i="14"/>
  <c r="N238" i="14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N227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I197" i="14"/>
  <c r="K197" i="14" s="1"/>
  <c r="J194" i="14"/>
  <c r="I193" i="14"/>
  <c r="I190" i="14" s="1"/>
  <c r="P191" i="14"/>
  <c r="L191" i="14"/>
  <c r="O191" i="14" s="1"/>
  <c r="J190" i="14"/>
  <c r="N189" i="14"/>
  <c r="N187" i="14" s="1"/>
  <c r="M189" i="14"/>
  <c r="M187" i="14" s="1"/>
  <c r="P187" i="14" s="1"/>
  <c r="L189" i="14"/>
  <c r="L187" i="14" s="1"/>
  <c r="O187" i="14" s="1"/>
  <c r="P188" i="14"/>
  <c r="O188" i="14"/>
  <c r="N186" i="14"/>
  <c r="M186" i="14"/>
  <c r="M184" i="14" s="1"/>
  <c r="L186" i="14"/>
  <c r="L184" i="14" s="1"/>
  <c r="P185" i="14"/>
  <c r="O185" i="14"/>
  <c r="O182" i="14"/>
  <c r="N182" i="14"/>
  <c r="M182" i="14"/>
  <c r="L182" i="14"/>
  <c r="J180" i="14"/>
  <c r="J177" i="14"/>
  <c r="I176" i="14"/>
  <c r="I174" i="14" s="1"/>
  <c r="I164" i="14" s="1"/>
  <c r="K164" i="14" s="1"/>
  <c r="J174" i="14"/>
  <c r="N173" i="14"/>
  <c r="N171" i="14" s="1"/>
  <c r="M173" i="14"/>
  <c r="L173" i="14"/>
  <c r="O173" i="14" s="1"/>
  <c r="P172" i="14"/>
  <c r="O172" i="14"/>
  <c r="N170" i="14"/>
  <c r="M170" i="14"/>
  <c r="L170" i="14"/>
  <c r="P169" i="14"/>
  <c r="O169" i="14"/>
  <c r="P166" i="14"/>
  <c r="O166" i="14"/>
  <c r="N166" i="14"/>
  <c r="M166" i="14"/>
  <c r="L166" i="14"/>
  <c r="J164" i="14"/>
  <c r="I159" i="14"/>
  <c r="K159" i="14" s="1"/>
  <c r="N157" i="14"/>
  <c r="N155" i="14" s="1"/>
  <c r="M157" i="14"/>
  <c r="P157" i="14" s="1"/>
  <c r="L157" i="14"/>
  <c r="L155" i="14" s="1"/>
  <c r="O155" i="14" s="1"/>
  <c r="P156" i="14"/>
  <c r="O156" i="14"/>
  <c r="N154" i="14"/>
  <c r="M154" i="14"/>
  <c r="L154" i="14"/>
  <c r="O154" i="14" s="1"/>
  <c r="P153" i="14"/>
  <c r="O153" i="14"/>
  <c r="N150" i="14"/>
  <c r="M150" i="14"/>
  <c r="P150" i="14" s="1"/>
  <c r="L150" i="14"/>
  <c r="J148" i="14"/>
  <c r="I146" i="14"/>
  <c r="K146" i="14" s="1"/>
  <c r="I145" i="14"/>
  <c r="I143" i="14" s="1"/>
  <c r="I144" i="14"/>
  <c r="K144" i="14" s="1"/>
  <c r="N140" i="14"/>
  <c r="N138" i="14" s="1"/>
  <c r="M140" i="14"/>
  <c r="M138" i="14" s="1"/>
  <c r="P138" i="14" s="1"/>
  <c r="L140" i="14"/>
  <c r="P139" i="14"/>
  <c r="O139" i="14"/>
  <c r="N137" i="14"/>
  <c r="M137" i="14"/>
  <c r="M135" i="14" s="1"/>
  <c r="P135" i="14" s="1"/>
  <c r="L137" i="14"/>
  <c r="P136" i="14"/>
  <c r="O136" i="14"/>
  <c r="O133" i="14"/>
  <c r="N133" i="14"/>
  <c r="M133" i="14"/>
  <c r="L133" i="14"/>
  <c r="J130" i="14"/>
  <c r="N127" i="14"/>
  <c r="N125" i="14" s="1"/>
  <c r="M127" i="14"/>
  <c r="L127" i="14"/>
  <c r="O127" i="14" s="1"/>
  <c r="P126" i="14"/>
  <c r="O126" i="14"/>
  <c r="N124" i="14"/>
  <c r="M124" i="14"/>
  <c r="L124" i="14"/>
  <c r="P123" i="14"/>
  <c r="O123" i="14"/>
  <c r="N120" i="14"/>
  <c r="M120" i="14"/>
  <c r="P120" i="14" s="1"/>
  <c r="L120" i="14"/>
  <c r="O120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I99" i="14"/>
  <c r="K99" i="14" s="1"/>
  <c r="J98" i="14"/>
  <c r="I98" i="14"/>
  <c r="I86" i="14" s="1"/>
  <c r="K86" i="14" s="1"/>
  <c r="N96" i="14"/>
  <c r="N94" i="14" s="1"/>
  <c r="M96" i="14"/>
  <c r="P96" i="14" s="1"/>
  <c r="L96" i="14"/>
  <c r="O96" i="14" s="1"/>
  <c r="P95" i="14"/>
  <c r="O95" i="14"/>
  <c r="N93" i="14"/>
  <c r="N91" i="14" s="1"/>
  <c r="M93" i="14"/>
  <c r="L93" i="14"/>
  <c r="L91" i="14" s="1"/>
  <c r="P92" i="14"/>
  <c r="O92" i="14"/>
  <c r="P89" i="14"/>
  <c r="O89" i="14"/>
  <c r="N89" i="14"/>
  <c r="M89" i="14"/>
  <c r="L89" i="14"/>
  <c r="J87" i="14"/>
  <c r="J86" i="14"/>
  <c r="I84" i="14"/>
  <c r="K84" i="14" s="1"/>
  <c r="I83" i="14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76" i="14"/>
  <c r="J64" i="14" s="1"/>
  <c r="N74" i="14"/>
  <c r="M74" i="14"/>
  <c r="P74" i="14" s="1"/>
  <c r="L74" i="14"/>
  <c r="L72" i="14" s="1"/>
  <c r="O72" i="14" s="1"/>
  <c r="P73" i="14"/>
  <c r="O73" i="14"/>
  <c r="N71" i="14"/>
  <c r="N69" i="14" s="1"/>
  <c r="M71" i="14"/>
  <c r="L71" i="14"/>
  <c r="L69" i="14" s="1"/>
  <c r="O69" i="14" s="1"/>
  <c r="P70" i="14"/>
  <c r="O70" i="14"/>
  <c r="P67" i="14"/>
  <c r="N67" i="14"/>
  <c r="M67" i="14"/>
  <c r="L67" i="14"/>
  <c r="J65" i="14"/>
  <c r="N61" i="14"/>
  <c r="N59" i="14" s="1"/>
  <c r="M61" i="14"/>
  <c r="L61" i="14"/>
  <c r="L59" i="14" s="1"/>
  <c r="O59" i="14" s="1"/>
  <c r="P60" i="14"/>
  <c r="O60" i="14"/>
  <c r="N58" i="14"/>
  <c r="M58" i="14"/>
  <c r="L58" i="14"/>
  <c r="L56" i="14" s="1"/>
  <c r="P57" i="14"/>
  <c r="O57" i="14"/>
  <c r="P54" i="14"/>
  <c r="N54" i="14"/>
  <c r="M54" i="14"/>
  <c r="L54" i="14"/>
  <c r="N49" i="14"/>
  <c r="N47" i="14" s="1"/>
  <c r="M49" i="14"/>
  <c r="M47" i="14" s="1"/>
  <c r="P47" i="14" s="1"/>
  <c r="L49" i="14"/>
  <c r="L47" i="14" s="1"/>
  <c r="O47" i="14" s="1"/>
  <c r="P48" i="14"/>
  <c r="O48" i="14"/>
  <c r="N46" i="14"/>
  <c r="M46" i="14"/>
  <c r="M44" i="14" s="1"/>
  <c r="L46" i="14"/>
  <c r="P45" i="14"/>
  <c r="O45" i="14"/>
  <c r="P42" i="14"/>
  <c r="O42" i="14"/>
  <c r="N42" i="14"/>
  <c r="M42" i="14"/>
  <c r="L42" i="14"/>
  <c r="N36" i="14"/>
  <c r="M36" i="14"/>
  <c r="P36" i="14" s="1"/>
  <c r="O35" i="14"/>
  <c r="N35" i="14"/>
  <c r="M35" i="14"/>
  <c r="P35" i="14" s="1"/>
  <c r="L35" i="14"/>
  <c r="N34" i="14"/>
  <c r="N33" i="14"/>
  <c r="N30" i="14" s="1"/>
  <c r="P32" i="14"/>
  <c r="N32" i="14"/>
  <c r="M32" i="14"/>
  <c r="L32" i="14"/>
  <c r="O32" i="14" s="1"/>
  <c r="M29" i="14"/>
  <c r="L29" i="14"/>
  <c r="O29" i="14" s="1"/>
  <c r="P25" i="14"/>
  <c r="N25" i="14"/>
  <c r="N19" i="14" s="1"/>
  <c r="M25" i="14"/>
  <c r="L25" i="14"/>
  <c r="O22" i="14"/>
  <c r="N22" i="14"/>
  <c r="M22" i="14"/>
  <c r="M12" i="14" s="1"/>
  <c r="L22" i="14"/>
  <c r="M19" i="14"/>
  <c r="M15" i="14"/>
  <c r="P15" i="14" s="1"/>
  <c r="L15" i="14"/>
  <c r="L12" i="14"/>
  <c r="L9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N815" i="13"/>
  <c r="M815" i="13"/>
  <c r="P815" i="13" s="1"/>
  <c r="L815" i="13"/>
  <c r="O815" i="13" s="1"/>
  <c r="P810" i="13"/>
  <c r="O810" i="13"/>
  <c r="N810" i="13"/>
  <c r="N807" i="13" s="1"/>
  <c r="N805" i="13" s="1"/>
  <c r="P809" i="13"/>
  <c r="O809" i="13"/>
  <c r="P808" i="13"/>
  <c r="O808" i="13"/>
  <c r="N808" i="13"/>
  <c r="M808" i="13"/>
  <c r="L808" i="13"/>
  <c r="M807" i="13"/>
  <c r="L807" i="13"/>
  <c r="L805" i="13" s="1"/>
  <c r="O805" i="13" s="1"/>
  <c r="P806" i="13"/>
  <c r="O806" i="13"/>
  <c r="N806" i="13"/>
  <c r="M806" i="13"/>
  <c r="L806" i="13"/>
  <c r="K804" i="13"/>
  <c r="J804" i="13"/>
  <c r="K802" i="13"/>
  <c r="J801" i="13"/>
  <c r="J800" i="13"/>
  <c r="J785" i="13" s="1"/>
  <c r="I800" i="13"/>
  <c r="I785" i="13" s="1"/>
  <c r="K785" i="13" s="1"/>
  <c r="P798" i="13"/>
  <c r="O798" i="13"/>
  <c r="P797" i="13"/>
  <c r="O797" i="13"/>
  <c r="O796" i="13"/>
  <c r="N796" i="13"/>
  <c r="M796" i="13"/>
  <c r="P796" i="13" s="1"/>
  <c r="L796" i="13"/>
  <c r="P791" i="13"/>
  <c r="N791" i="13"/>
  <c r="N789" i="13" s="1"/>
  <c r="L791" i="13"/>
  <c r="O791" i="13" s="1"/>
  <c r="P790" i="13"/>
  <c r="O790" i="13"/>
  <c r="P789" i="13"/>
  <c r="M789" i="13"/>
  <c r="N788" i="13"/>
  <c r="N786" i="13" s="1"/>
  <c r="M788" i="13"/>
  <c r="M786" i="13" s="1"/>
  <c r="P786" i="13" s="1"/>
  <c r="N787" i="13"/>
  <c r="M787" i="13"/>
  <c r="P787" i="13" s="1"/>
  <c r="L787" i="13"/>
  <c r="P782" i="13"/>
  <c r="O782" i="13"/>
  <c r="P781" i="13"/>
  <c r="O781" i="13"/>
  <c r="N780" i="13"/>
  <c r="M780" i="13"/>
  <c r="P780" i="13" s="1"/>
  <c r="L780" i="13"/>
  <c r="O780" i="13" s="1"/>
  <c r="P775" i="13"/>
  <c r="O775" i="13"/>
  <c r="N775" i="13"/>
  <c r="P774" i="13"/>
  <c r="O774" i="13"/>
  <c r="O773" i="13"/>
  <c r="N773" i="13"/>
  <c r="M773" i="13"/>
  <c r="P773" i="13" s="1"/>
  <c r="L773" i="13"/>
  <c r="P772" i="13"/>
  <c r="N772" i="13"/>
  <c r="M772" i="13"/>
  <c r="L772" i="13"/>
  <c r="P771" i="13"/>
  <c r="O771" i="13"/>
  <c r="N771" i="13"/>
  <c r="M771" i="13"/>
  <c r="L771" i="13"/>
  <c r="N770" i="13"/>
  <c r="M770" i="13"/>
  <c r="P770" i="13" s="1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P758" i="13"/>
  <c r="O758" i="13"/>
  <c r="O757" i="13"/>
  <c r="M757" i="13"/>
  <c r="P757" i="13" s="1"/>
  <c r="L757" i="13"/>
  <c r="P756" i="13"/>
  <c r="O756" i="13"/>
  <c r="M756" i="13"/>
  <c r="L756" i="13"/>
  <c r="N755" i="13"/>
  <c r="M755" i="13"/>
  <c r="L755" i="13"/>
  <c r="O755" i="13" s="1"/>
  <c r="K753" i="13"/>
  <c r="J753" i="13"/>
  <c r="P749" i="13"/>
  <c r="O749" i="13"/>
  <c r="P748" i="13"/>
  <c r="O748" i="13"/>
  <c r="N747" i="13"/>
  <c r="M747" i="13"/>
  <c r="P747" i="13" s="1"/>
  <c r="L747" i="13"/>
  <c r="O747" i="13" s="1"/>
  <c r="P742" i="13"/>
  <c r="O742" i="13"/>
  <c r="N742" i="13"/>
  <c r="P741" i="13"/>
  <c r="O741" i="13"/>
  <c r="O740" i="13"/>
  <c r="N740" i="13"/>
  <c r="M740" i="13"/>
  <c r="P740" i="13" s="1"/>
  <c r="L740" i="13"/>
  <c r="P739" i="13"/>
  <c r="N739" i="13"/>
  <c r="M739" i="13"/>
  <c r="L739" i="13"/>
  <c r="P738" i="13"/>
  <c r="O738" i="13"/>
  <c r="N738" i="13"/>
  <c r="M738" i="13"/>
  <c r="L738" i="13"/>
  <c r="N737" i="13"/>
  <c r="M737" i="13"/>
  <c r="P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O695" i="13"/>
  <c r="N695" i="13"/>
  <c r="M695" i="13"/>
  <c r="P695" i="13" s="1"/>
  <c r="L695" i="13"/>
  <c r="P690" i="13"/>
  <c r="N690" i="13"/>
  <c r="L690" i="13"/>
  <c r="P688" i="13"/>
  <c r="N688" i="13"/>
  <c r="M688" i="13"/>
  <c r="P687" i="13"/>
  <c r="N687" i="13"/>
  <c r="M687" i="13"/>
  <c r="N686" i="13"/>
  <c r="N685" i="13" s="1"/>
  <c r="M686" i="13"/>
  <c r="P686" i="13" s="1"/>
  <c r="L686" i="13"/>
  <c r="O686" i="13" s="1"/>
  <c r="J679" i="13"/>
  <c r="J678" i="13" s="1"/>
  <c r="I678" i="13"/>
  <c r="K678" i="13" s="1"/>
  <c r="J675" i="13"/>
  <c r="I671" i="13"/>
  <c r="K671" i="13" s="1"/>
  <c r="I670" i="13"/>
  <c r="K670" i="13" s="1"/>
  <c r="J669" i="13"/>
  <c r="I669" i="13"/>
  <c r="K675" i="13" s="1"/>
  <c r="P667" i="13"/>
  <c r="O667" i="13"/>
  <c r="P666" i="13"/>
  <c r="O666" i="13"/>
  <c r="N665" i="13"/>
  <c r="M665" i="13"/>
  <c r="P665" i="13" s="1"/>
  <c r="L665" i="13"/>
  <c r="O665" i="13" s="1"/>
  <c r="N660" i="13"/>
  <c r="L660" i="13"/>
  <c r="M660" i="13" s="1"/>
  <c r="P659" i="13"/>
  <c r="O659" i="13"/>
  <c r="P656" i="13"/>
  <c r="N656" i="13"/>
  <c r="M656" i="13"/>
  <c r="L656" i="13"/>
  <c r="O656" i="13" s="1"/>
  <c r="I654" i="13"/>
  <c r="K652" i="13"/>
  <c r="J652" i="13"/>
  <c r="J651" i="13"/>
  <c r="J628" i="13" s="1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N634" i="13"/>
  <c r="L634" i="13"/>
  <c r="L632" i="13" s="1"/>
  <c r="O632" i="13" s="1"/>
  <c r="P633" i="13"/>
  <c r="O633" i="13"/>
  <c r="N632" i="13"/>
  <c r="N631" i="13"/>
  <c r="P630" i="13"/>
  <c r="O630" i="13"/>
  <c r="N630" i="13"/>
  <c r="M630" i="13"/>
  <c r="L630" i="13"/>
  <c r="N629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594" i="13" s="1"/>
  <c r="J603" i="13"/>
  <c r="J596" i="13"/>
  <c r="J595" i="13"/>
  <c r="I594" i="13"/>
  <c r="K594" i="13" s="1"/>
  <c r="J593" i="13"/>
  <c r="J592" i="13" s="1"/>
  <c r="I593" i="13"/>
  <c r="I592" i="13" s="1"/>
  <c r="J583" i="13"/>
  <c r="J582" i="13"/>
  <c r="J576" i="13" s="1"/>
  <c r="J559" i="13" s="1"/>
  <c r="J543" i="13" s="1"/>
  <c r="J577" i="13"/>
  <c r="I577" i="13"/>
  <c r="K577" i="13" s="1"/>
  <c r="I576" i="13"/>
  <c r="K576" i="13" s="1"/>
  <c r="J569" i="13"/>
  <c r="I569" i="13"/>
  <c r="J568" i="13"/>
  <c r="I568" i="13"/>
  <c r="K568" i="13" s="1"/>
  <c r="J561" i="13"/>
  <c r="I561" i="13"/>
  <c r="J560" i="13"/>
  <c r="I560" i="13"/>
  <c r="P557" i="13"/>
  <c r="L557" i="13"/>
  <c r="P556" i="13"/>
  <c r="O556" i="13"/>
  <c r="N555" i="13"/>
  <c r="M555" i="13"/>
  <c r="P555" i="13" s="1"/>
  <c r="N549" i="13"/>
  <c r="N546" i="13" s="1"/>
  <c r="L549" i="13"/>
  <c r="O549" i="13" s="1"/>
  <c r="P548" i="13"/>
  <c r="O548" i="13"/>
  <c r="N547" i="13"/>
  <c r="O545" i="13"/>
  <c r="N545" i="13"/>
  <c r="L545" i="13"/>
  <c r="N544" i="13"/>
  <c r="I542" i="13"/>
  <c r="K542" i="13" s="1"/>
  <c r="I541" i="13"/>
  <c r="I540" i="13"/>
  <c r="K540" i="13" s="1"/>
  <c r="I539" i="13"/>
  <c r="K539" i="13" s="1"/>
  <c r="I538" i="13"/>
  <c r="K538" i="13" s="1"/>
  <c r="I537" i="13"/>
  <c r="I522" i="13" s="1"/>
  <c r="P535" i="13"/>
  <c r="L535" i="13"/>
  <c r="O535" i="13" s="1"/>
  <c r="P534" i="13"/>
  <c r="O534" i="13"/>
  <c r="N533" i="13"/>
  <c r="M533" i="13"/>
  <c r="P533" i="13" s="1"/>
  <c r="N528" i="13"/>
  <c r="L528" i="13"/>
  <c r="P527" i="13"/>
  <c r="O527" i="13"/>
  <c r="N526" i="13"/>
  <c r="N525" i="13"/>
  <c r="N524" i="13"/>
  <c r="N523" i="13" s="1"/>
  <c r="M524" i="13"/>
  <c r="L524" i="13"/>
  <c r="K517" i="13"/>
  <c r="J517" i="13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P506" i="13"/>
  <c r="O506" i="13"/>
  <c r="N505" i="13"/>
  <c r="M505" i="13"/>
  <c r="P505" i="13" s="1"/>
  <c r="L505" i="13"/>
  <c r="O505" i="13" s="1"/>
  <c r="P504" i="13"/>
  <c r="O504" i="13"/>
  <c r="N504" i="13"/>
  <c r="M504" i="13"/>
  <c r="L504" i="13"/>
  <c r="N503" i="13"/>
  <c r="N502" i="13" s="1"/>
  <c r="M503" i="13"/>
  <c r="M502" i="13" s="1"/>
  <c r="P502" i="13" s="1"/>
  <c r="L503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N472" i="13"/>
  <c r="N470" i="13" s="1"/>
  <c r="L472" i="13"/>
  <c r="P471" i="13"/>
  <c r="O471" i="13"/>
  <c r="N469" i="13"/>
  <c r="O468" i="13"/>
  <c r="N468" i="13"/>
  <c r="N467" i="13" s="1"/>
  <c r="M468" i="13"/>
  <c r="L468" i="13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K460" i="13" s="1"/>
  <c r="K458" i="13"/>
  <c r="P456" i="13"/>
  <c r="L456" i="13"/>
  <c r="P455" i="13"/>
  <c r="O455" i="13"/>
  <c r="P454" i="13"/>
  <c r="N454" i="13"/>
  <c r="M454" i="13"/>
  <c r="N449" i="13"/>
  <c r="L449" i="13"/>
  <c r="L447" i="13" s="1"/>
  <c r="P448" i="13"/>
  <c r="O448" i="13"/>
  <c r="N445" i="13"/>
  <c r="M445" i="13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K435" i="13" s="1"/>
  <c r="J434" i="13"/>
  <c r="P431" i="13"/>
  <c r="L431" i="13"/>
  <c r="P430" i="13"/>
  <c r="O430" i="13"/>
  <c r="P429" i="13"/>
  <c r="N429" i="13"/>
  <c r="M429" i="13"/>
  <c r="N424" i="13"/>
  <c r="L424" i="13"/>
  <c r="L422" i="13" s="1"/>
  <c r="P423" i="13"/>
  <c r="O423" i="13"/>
  <c r="N421" i="13"/>
  <c r="N419" i="13" s="1"/>
  <c r="P420" i="13"/>
  <c r="N420" i="13"/>
  <c r="M420" i="13"/>
  <c r="L420" i="13"/>
  <c r="J418" i="13"/>
  <c r="K413" i="13"/>
  <c r="K412" i="13"/>
  <c r="N410" i="13"/>
  <c r="N408" i="13" s="1"/>
  <c r="M410" i="13"/>
  <c r="L410" i="13"/>
  <c r="L408" i="13" s="1"/>
  <c r="O408" i="13" s="1"/>
  <c r="P409" i="13"/>
  <c r="O409" i="13"/>
  <c r="N407" i="13"/>
  <c r="M407" i="13"/>
  <c r="L407" i="13"/>
  <c r="P406" i="13"/>
  <c r="O406" i="13"/>
  <c r="P403" i="13"/>
  <c r="O403" i="13"/>
  <c r="N403" i="13"/>
  <c r="M403" i="13"/>
  <c r="L403" i="13"/>
  <c r="K401" i="13"/>
  <c r="J401" i="13"/>
  <c r="I401" i="13"/>
  <c r="K400" i="13"/>
  <c r="K399" i="13"/>
  <c r="N397" i="13"/>
  <c r="M397" i="13"/>
  <c r="P397" i="13" s="1"/>
  <c r="L397" i="13"/>
  <c r="O397" i="13" s="1"/>
  <c r="P396" i="13"/>
  <c r="O396" i="13"/>
  <c r="N394" i="13"/>
  <c r="N392" i="13" s="1"/>
  <c r="M394" i="13"/>
  <c r="M392" i="13" s="1"/>
  <c r="P392" i="13" s="1"/>
  <c r="L394" i="13"/>
  <c r="O394" i="13" s="1"/>
  <c r="P393" i="13"/>
  <c r="O393" i="13"/>
  <c r="N390" i="13"/>
  <c r="M390" i="13"/>
  <c r="P390" i="13" s="1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P352" i="13"/>
  <c r="O352" i="13"/>
  <c r="N350" i="13"/>
  <c r="N348" i="13" s="1"/>
  <c r="M350" i="13"/>
  <c r="M348" i="13" s="1"/>
  <c r="L350" i="13"/>
  <c r="P349" i="13"/>
  <c r="O349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L336" i="13"/>
  <c r="O336" i="13" s="1"/>
  <c r="P335" i="13"/>
  <c r="O335" i="13"/>
  <c r="N333" i="13"/>
  <c r="N331" i="13" s="1"/>
  <c r="M333" i="13"/>
  <c r="M331" i="13" s="1"/>
  <c r="L333" i="13"/>
  <c r="L331" i="13" s="1"/>
  <c r="P332" i="13"/>
  <c r="O332" i="13"/>
  <c r="P329" i="13"/>
  <c r="N329" i="13"/>
  <c r="M329" i="13"/>
  <c r="L329" i="13"/>
  <c r="I327" i="13"/>
  <c r="I325" i="13"/>
  <c r="K325" i="13" s="1"/>
  <c r="N323" i="13"/>
  <c r="M323" i="13"/>
  <c r="M321" i="13" s="1"/>
  <c r="L323" i="13"/>
  <c r="L321" i="13" s="1"/>
  <c r="O321" i="13" s="1"/>
  <c r="P322" i="13"/>
  <c r="O322" i="13"/>
  <c r="N320" i="13"/>
  <c r="N318" i="13" s="1"/>
  <c r="M320" i="13"/>
  <c r="L320" i="13"/>
  <c r="P319" i="13"/>
  <c r="O319" i="13"/>
  <c r="P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I297" i="13" s="1"/>
  <c r="K297" i="13" s="1"/>
  <c r="N306" i="13"/>
  <c r="N304" i="13" s="1"/>
  <c r="M306" i="13"/>
  <c r="M304" i="13" s="1"/>
  <c r="P304" i="13" s="1"/>
  <c r="L306" i="13"/>
  <c r="O306" i="13" s="1"/>
  <c r="P305" i="13"/>
  <c r="O305" i="13"/>
  <c r="N303" i="13"/>
  <c r="N301" i="13" s="1"/>
  <c r="M303" i="13"/>
  <c r="L303" i="13"/>
  <c r="P302" i="13"/>
  <c r="O302" i="13"/>
  <c r="P299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I276" i="13" s="1"/>
  <c r="K276" i="13" s="1"/>
  <c r="N285" i="13"/>
  <c r="N283" i="13" s="1"/>
  <c r="M285" i="13"/>
  <c r="L285" i="13"/>
  <c r="O285" i="13" s="1"/>
  <c r="P284" i="13"/>
  <c r="O284" i="13"/>
  <c r="N282" i="13"/>
  <c r="M282" i="13"/>
  <c r="L282" i="13"/>
  <c r="P281" i="13"/>
  <c r="O281" i="13"/>
  <c r="O278" i="13"/>
  <c r="N278" i="13"/>
  <c r="M278" i="13"/>
  <c r="L278" i="13"/>
  <c r="J276" i="13"/>
  <c r="I271" i="13"/>
  <c r="K271" i="13" s="1"/>
  <c r="N269" i="13"/>
  <c r="M269" i="13"/>
  <c r="L269" i="13"/>
  <c r="P268" i="13"/>
  <c r="O268" i="13"/>
  <c r="N266" i="13"/>
  <c r="N264" i="13" s="1"/>
  <c r="M266" i="13"/>
  <c r="L266" i="13"/>
  <c r="L264" i="13" s="1"/>
  <c r="P265" i="13"/>
  <c r="O265" i="13"/>
  <c r="P262" i="13"/>
  <c r="N262" i="13"/>
  <c r="M262" i="13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N227" i="13" s="1"/>
  <c r="J248" i="13"/>
  <c r="K247" i="13"/>
  <c r="K246" i="13"/>
  <c r="I244" i="13"/>
  <c r="L242" i="13"/>
  <c r="L241" i="13"/>
  <c r="L240" i="13"/>
  <c r="L239" i="13"/>
  <c r="P238" i="13"/>
  <c r="N238" i="13"/>
  <c r="J237" i="13"/>
  <c r="J236" i="13"/>
  <c r="I236" i="13"/>
  <c r="K236" i="13" s="1"/>
  <c r="K235" i="13"/>
  <c r="J235" i="13"/>
  <c r="I235" i="13"/>
  <c r="J233" i="13"/>
  <c r="N231" i="13"/>
  <c r="N230" i="13"/>
  <c r="N229" i="13"/>
  <c r="N228" i="13"/>
  <c r="J226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6" i="13"/>
  <c r="K216" i="13" s="1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N187" i="13" s="1"/>
  <c r="M189" i="13"/>
  <c r="M187" i="13" s="1"/>
  <c r="P187" i="13" s="1"/>
  <c r="L189" i="13"/>
  <c r="L187" i="13" s="1"/>
  <c r="O187" i="13" s="1"/>
  <c r="P188" i="13"/>
  <c r="O188" i="13"/>
  <c r="N186" i="13"/>
  <c r="N184" i="13" s="1"/>
  <c r="M186" i="13"/>
  <c r="M184" i="13" s="1"/>
  <c r="L186" i="13"/>
  <c r="P185" i="13"/>
  <c r="O185" i="13"/>
  <c r="N182" i="13"/>
  <c r="M182" i="13"/>
  <c r="L182" i="13"/>
  <c r="J180" i="13"/>
  <c r="J177" i="13"/>
  <c r="I176" i="13"/>
  <c r="J174" i="13"/>
  <c r="N173" i="13"/>
  <c r="N171" i="13" s="1"/>
  <c r="M173" i="13"/>
  <c r="M171" i="13" s="1"/>
  <c r="P171" i="13" s="1"/>
  <c r="L173" i="13"/>
  <c r="L171" i="13" s="1"/>
  <c r="O171" i="13" s="1"/>
  <c r="P172" i="13"/>
  <c r="O172" i="13"/>
  <c r="N170" i="13"/>
  <c r="N168" i="13" s="1"/>
  <c r="M170" i="13"/>
  <c r="M168" i="13" s="1"/>
  <c r="L170" i="13"/>
  <c r="P169" i="13"/>
  <c r="O169" i="13"/>
  <c r="N166" i="13"/>
  <c r="M166" i="13"/>
  <c r="L166" i="13"/>
  <c r="J164" i="13"/>
  <c r="I159" i="13"/>
  <c r="I148" i="13" s="1"/>
  <c r="K148" i="13" s="1"/>
  <c r="N157" i="13"/>
  <c r="N155" i="13" s="1"/>
  <c r="M157" i="13"/>
  <c r="M155" i="13" s="1"/>
  <c r="P155" i="13" s="1"/>
  <c r="L157" i="13"/>
  <c r="P156" i="13"/>
  <c r="O156" i="13"/>
  <c r="N154" i="13"/>
  <c r="M154" i="13"/>
  <c r="P154" i="13" s="1"/>
  <c r="L154" i="13"/>
  <c r="L152" i="13" s="1"/>
  <c r="O152" i="13" s="1"/>
  <c r="P153" i="13"/>
  <c r="O153" i="13"/>
  <c r="P150" i="13"/>
  <c r="O150" i="13"/>
  <c r="N150" i="13"/>
  <c r="M150" i="13"/>
  <c r="L150" i="13"/>
  <c r="J148" i="13"/>
  <c r="I146" i="13"/>
  <c r="I130" i="13" s="1"/>
  <c r="K130" i="13" s="1"/>
  <c r="I145" i="13"/>
  <c r="I143" i="13" s="1"/>
  <c r="I131" i="13" s="1"/>
  <c r="I144" i="13"/>
  <c r="K144" i="13" s="1"/>
  <c r="N140" i="13"/>
  <c r="N138" i="13" s="1"/>
  <c r="M140" i="13"/>
  <c r="L140" i="13"/>
  <c r="P139" i="13"/>
  <c r="O139" i="13"/>
  <c r="N137" i="13"/>
  <c r="M137" i="13"/>
  <c r="M135" i="13" s="1"/>
  <c r="L137" i="13"/>
  <c r="P136" i="13"/>
  <c r="O136" i="13"/>
  <c r="P133" i="13"/>
  <c r="N133" i="13"/>
  <c r="M133" i="13"/>
  <c r="L133" i="13"/>
  <c r="J130" i="13"/>
  <c r="N127" i="13"/>
  <c r="N125" i="13" s="1"/>
  <c r="M127" i="13"/>
  <c r="P127" i="13" s="1"/>
  <c r="L127" i="13"/>
  <c r="P126" i="13"/>
  <c r="O126" i="13"/>
  <c r="N124" i="13"/>
  <c r="M124" i="13"/>
  <c r="L124" i="13"/>
  <c r="P123" i="13"/>
  <c r="O123" i="13"/>
  <c r="P120" i="13"/>
  <c r="O120" i="13"/>
  <c r="N120" i="13"/>
  <c r="M120" i="13"/>
  <c r="L120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J87" i="13" s="1"/>
  <c r="I99" i="13"/>
  <c r="K99" i="13" s="1"/>
  <c r="J98" i="13"/>
  <c r="I98" i="13"/>
  <c r="K98" i="13" s="1"/>
  <c r="N96" i="13"/>
  <c r="M96" i="13"/>
  <c r="L96" i="13"/>
  <c r="P95" i="13"/>
  <c r="O95" i="13"/>
  <c r="N93" i="13"/>
  <c r="N91" i="13" s="1"/>
  <c r="M93" i="13"/>
  <c r="M91" i="13" s="1"/>
  <c r="L93" i="13"/>
  <c r="P92" i="13"/>
  <c r="O92" i="13"/>
  <c r="N89" i="13"/>
  <c r="M89" i="13"/>
  <c r="L89" i="13"/>
  <c r="I87" i="13"/>
  <c r="K87" i="13" s="1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J77" i="13"/>
  <c r="J76" i="13"/>
  <c r="N74" i="13"/>
  <c r="N72" i="13" s="1"/>
  <c r="M74" i="13"/>
  <c r="P74" i="13" s="1"/>
  <c r="L74" i="13"/>
  <c r="O74" i="13" s="1"/>
  <c r="P73" i="13"/>
  <c r="O73" i="13"/>
  <c r="N71" i="13"/>
  <c r="N69" i="13" s="1"/>
  <c r="M71" i="13"/>
  <c r="L71" i="13"/>
  <c r="P70" i="13"/>
  <c r="O70" i="13"/>
  <c r="N67" i="13"/>
  <c r="M67" i="13"/>
  <c r="L67" i="13"/>
  <c r="J65" i="13"/>
  <c r="J64" i="13"/>
  <c r="N61" i="13"/>
  <c r="N59" i="13" s="1"/>
  <c r="M61" i="13"/>
  <c r="M59" i="13" s="1"/>
  <c r="L61" i="13"/>
  <c r="P60" i="13"/>
  <c r="O60" i="13"/>
  <c r="N58" i="13"/>
  <c r="N56" i="13" s="1"/>
  <c r="M58" i="13"/>
  <c r="L58" i="13"/>
  <c r="L56" i="13" s="1"/>
  <c r="P57" i="13"/>
  <c r="O57" i="13"/>
  <c r="P54" i="13"/>
  <c r="O54" i="13"/>
  <c r="N54" i="13"/>
  <c r="M54" i="13"/>
  <c r="L54" i="13"/>
  <c r="N49" i="13"/>
  <c r="N47" i="13" s="1"/>
  <c r="M49" i="13"/>
  <c r="L49" i="13"/>
  <c r="O49" i="13" s="1"/>
  <c r="P48" i="13"/>
  <c r="O48" i="13"/>
  <c r="N46" i="13"/>
  <c r="M46" i="13"/>
  <c r="M44" i="13" s="1"/>
  <c r="L46" i="13"/>
  <c r="P45" i="13"/>
  <c r="O45" i="13"/>
  <c r="P42" i="13"/>
  <c r="O42" i="13"/>
  <c r="N42" i="13"/>
  <c r="M42" i="13"/>
  <c r="L42" i="13"/>
  <c r="P36" i="13"/>
  <c r="N36" i="13"/>
  <c r="M36" i="13"/>
  <c r="N35" i="13"/>
  <c r="M35" i="13"/>
  <c r="P35" i="13" s="1"/>
  <c r="L35" i="13"/>
  <c r="O35" i="13" s="1"/>
  <c r="N33" i="13"/>
  <c r="N30" i="13" s="1"/>
  <c r="N28" i="13" s="1"/>
  <c r="O32" i="13"/>
  <c r="N32" i="13"/>
  <c r="M32" i="13"/>
  <c r="P32" i="13" s="1"/>
  <c r="L32" i="13"/>
  <c r="N29" i="13"/>
  <c r="P25" i="13"/>
  <c r="O25" i="13"/>
  <c r="N25" i="13"/>
  <c r="M25" i="13"/>
  <c r="L25" i="13"/>
  <c r="O22" i="13"/>
  <c r="N22" i="13"/>
  <c r="M22" i="13"/>
  <c r="P22" i="13" s="1"/>
  <c r="L22" i="13"/>
  <c r="L19" i="13"/>
  <c r="O19" i="13" s="1"/>
  <c r="M15" i="13"/>
  <c r="P15" i="13" s="1"/>
  <c r="L15" i="13"/>
  <c r="O15" i="13" s="1"/>
  <c r="L12" i="13"/>
  <c r="O12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8" i="12" s="1"/>
  <c r="P809" i="12"/>
  <c r="O809" i="12"/>
  <c r="P808" i="12"/>
  <c r="M808" i="12"/>
  <c r="L808" i="12"/>
  <c r="O808" i="12" s="1"/>
  <c r="O807" i="12"/>
  <c r="N807" i="12"/>
  <c r="M807" i="12"/>
  <c r="P807" i="12" s="1"/>
  <c r="L807" i="12"/>
  <c r="O806" i="12"/>
  <c r="N806" i="12"/>
  <c r="M806" i="12"/>
  <c r="P806" i="12" s="1"/>
  <c r="L806" i="12"/>
  <c r="L805" i="12" s="1"/>
  <c r="O805" i="12"/>
  <c r="K804" i="12"/>
  <c r="J804" i="12"/>
  <c r="K802" i="12"/>
  <c r="J801" i="12"/>
  <c r="J800" i="12"/>
  <c r="J785" i="12" s="1"/>
  <c r="I800" i="12"/>
  <c r="K800" i="12" s="1"/>
  <c r="P798" i="12"/>
  <c r="O798" i="12"/>
  <c r="P797" i="12"/>
  <c r="O797" i="12"/>
  <c r="P796" i="12"/>
  <c r="O796" i="12"/>
  <c r="N796" i="12"/>
  <c r="M796" i="12"/>
  <c r="L796" i="12"/>
  <c r="P791" i="12"/>
  <c r="N791" i="12"/>
  <c r="L791" i="12"/>
  <c r="O791" i="12" s="1"/>
  <c r="P790" i="12"/>
  <c r="O790" i="12"/>
  <c r="M789" i="12"/>
  <c r="P789" i="12" s="1"/>
  <c r="P788" i="12"/>
  <c r="M788" i="12"/>
  <c r="N787" i="12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N773" i="12" s="1"/>
  <c r="P774" i="12"/>
  <c r="O774" i="12"/>
  <c r="P773" i="12"/>
  <c r="O773" i="12"/>
  <c r="M773" i="12"/>
  <c r="L773" i="12"/>
  <c r="N772" i="12"/>
  <c r="M772" i="12"/>
  <c r="P772" i="12" s="1"/>
  <c r="L772" i="12"/>
  <c r="O772" i="12" s="1"/>
  <c r="N771" i="12"/>
  <c r="M771" i="12"/>
  <c r="P771" i="12" s="1"/>
  <c r="L771" i="12"/>
  <c r="O771" i="12" s="1"/>
  <c r="N770" i="12"/>
  <c r="K769" i="12"/>
  <c r="J769" i="12"/>
  <c r="P766" i="12"/>
  <c r="O766" i="12"/>
  <c r="P765" i="12"/>
  <c r="O765" i="12"/>
  <c r="N764" i="12"/>
  <c r="M764" i="12"/>
  <c r="P764" i="12" s="1"/>
  <c r="L764" i="12"/>
  <c r="O764" i="12" s="1"/>
  <c r="P759" i="12"/>
  <c r="O759" i="12"/>
  <c r="N759" i="12"/>
  <c r="P758" i="12"/>
  <c r="O758" i="12"/>
  <c r="M757" i="12"/>
  <c r="P757" i="12" s="1"/>
  <c r="L757" i="12"/>
  <c r="O757" i="12" s="1"/>
  <c r="P756" i="12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N740" i="12" s="1"/>
  <c r="P741" i="12"/>
  <c r="O741" i="12"/>
  <c r="P740" i="12"/>
  <c r="M740" i="12"/>
  <c r="L740" i="12"/>
  <c r="O740" i="12" s="1"/>
  <c r="N739" i="12"/>
  <c r="M739" i="12"/>
  <c r="P739" i="12" s="1"/>
  <c r="L739" i="12"/>
  <c r="O739" i="12" s="1"/>
  <c r="N738" i="12"/>
  <c r="N737" i="12" s="1"/>
  <c r="M738" i="12"/>
  <c r="P738" i="12" s="1"/>
  <c r="L738" i="12"/>
  <c r="O738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N695" i="12"/>
  <c r="M695" i="12"/>
  <c r="P695" i="12" s="1"/>
  <c r="L695" i="12"/>
  <c r="O695" i="12" s="1"/>
  <c r="P690" i="12"/>
  <c r="N690" i="12"/>
  <c r="L690" i="12"/>
  <c r="L688" i="12" s="1"/>
  <c r="O688" i="12" s="1"/>
  <c r="N688" i="12"/>
  <c r="M688" i="12"/>
  <c r="P688" i="12" s="1"/>
  <c r="N687" i="12"/>
  <c r="M687" i="12"/>
  <c r="P687" i="12" s="1"/>
  <c r="P686" i="12"/>
  <c r="O686" i="12"/>
  <c r="N686" i="12"/>
  <c r="M686" i="12"/>
  <c r="L686" i="12"/>
  <c r="M685" i="12"/>
  <c r="P685" i="12" s="1"/>
  <c r="J679" i="12"/>
  <c r="J678" i="12" s="1"/>
  <c r="I678" i="12"/>
  <c r="K678" i="12" s="1"/>
  <c r="J675" i="12"/>
  <c r="I671" i="12"/>
  <c r="K671" i="12" s="1"/>
  <c r="I670" i="12"/>
  <c r="K670" i="12" s="1"/>
  <c r="J669" i="12"/>
  <c r="J654" i="12" s="1"/>
  <c r="I669" i="12"/>
  <c r="K673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N658" i="12" s="1"/>
  <c r="L660" i="12"/>
  <c r="O660" i="12" s="1"/>
  <c r="P659" i="12"/>
  <c r="O659" i="12"/>
  <c r="P658" i="12"/>
  <c r="M658" i="12"/>
  <c r="N657" i="12"/>
  <c r="M657" i="12"/>
  <c r="P657" i="12" s="1"/>
  <c r="O656" i="12"/>
  <c r="N656" i="12"/>
  <c r="N655" i="12" s="1"/>
  <c r="M656" i="12"/>
  <c r="P656" i="12" s="1"/>
  <c r="L656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N634" i="12"/>
  <c r="N631" i="12" s="1"/>
  <c r="N629" i="12" s="1"/>
  <c r="L634" i="12"/>
  <c r="P633" i="12"/>
  <c r="O633" i="12"/>
  <c r="N632" i="12"/>
  <c r="N630" i="12"/>
  <c r="M630" i="12"/>
  <c r="P630" i="12" s="1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J593" i="12" s="1"/>
  <c r="I594" i="12"/>
  <c r="I593" i="12"/>
  <c r="I592" i="12" s="1"/>
  <c r="J583" i="12"/>
  <c r="J577" i="12" s="1"/>
  <c r="J582" i="12"/>
  <c r="J576" i="12" s="1"/>
  <c r="J559" i="12" s="1"/>
  <c r="J543" i="12" s="1"/>
  <c r="I577" i="12"/>
  <c r="K577" i="12" s="1"/>
  <c r="I576" i="12"/>
  <c r="K576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P555" i="12"/>
  <c r="N555" i="12"/>
  <c r="N545" i="12" s="1"/>
  <c r="N544" i="12" s="1"/>
  <c r="M555" i="12"/>
  <c r="N549" i="12"/>
  <c r="N546" i="12" s="1"/>
  <c r="L549" i="12"/>
  <c r="O549" i="12" s="1"/>
  <c r="P548" i="12"/>
  <c r="O548" i="12"/>
  <c r="N547" i="12"/>
  <c r="M545" i="12"/>
  <c r="L545" i="12"/>
  <c r="O545" i="12" s="1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K537" i="12" s="1"/>
  <c r="P535" i="12"/>
  <c r="L535" i="12"/>
  <c r="O535" i="12" s="1"/>
  <c r="P534" i="12"/>
  <c r="O534" i="12"/>
  <c r="P533" i="12"/>
  <c r="N533" i="12"/>
  <c r="M533" i="12"/>
  <c r="P528" i="12"/>
  <c r="N528" i="12"/>
  <c r="L528" i="12"/>
  <c r="O528" i="12" s="1"/>
  <c r="P527" i="12"/>
  <c r="O527" i="12"/>
  <c r="P526" i="12"/>
  <c r="M526" i="12"/>
  <c r="P525" i="12"/>
  <c r="M525" i="12"/>
  <c r="N524" i="12"/>
  <c r="M524" i="12"/>
  <c r="L524" i="12"/>
  <c r="K517" i="12"/>
  <c r="J517" i="12"/>
  <c r="K516" i="12"/>
  <c r="P514" i="12"/>
  <c r="O514" i="12"/>
  <c r="P513" i="12"/>
  <c r="O513" i="12"/>
  <c r="N512" i="12"/>
  <c r="M512" i="12"/>
  <c r="P512" i="12" s="1"/>
  <c r="L512" i="12"/>
  <c r="O512" i="12" s="1"/>
  <c r="P507" i="12"/>
  <c r="O507" i="12"/>
  <c r="N507" i="12"/>
  <c r="P506" i="12"/>
  <c r="O506" i="12"/>
  <c r="P505" i="12"/>
  <c r="O505" i="12"/>
  <c r="M505" i="12"/>
  <c r="L505" i="12"/>
  <c r="P504" i="12"/>
  <c r="O504" i="12"/>
  <c r="M504" i="12"/>
  <c r="L504" i="12"/>
  <c r="N503" i="12"/>
  <c r="M503" i="12"/>
  <c r="L503" i="12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L472" i="12"/>
  <c r="P471" i="12"/>
  <c r="O471" i="12"/>
  <c r="N470" i="12"/>
  <c r="N469" i="12"/>
  <c r="N467" i="12" s="1"/>
  <c r="N468" i="12"/>
  <c r="M468" i="12"/>
  <c r="P468" i="12" s="1"/>
  <c r="L468" i="12"/>
  <c r="J466" i="12"/>
  <c r="I466" i="12"/>
  <c r="J465" i="12"/>
  <c r="I465" i="12"/>
  <c r="K465" i="12" s="1"/>
  <c r="I464" i="12"/>
  <c r="I463" i="12"/>
  <c r="I462" i="12"/>
  <c r="I460" i="12"/>
  <c r="I442" i="12" s="1"/>
  <c r="K458" i="12"/>
  <c r="P456" i="12"/>
  <c r="L456" i="12"/>
  <c r="P455" i="12"/>
  <c r="O455" i="12"/>
  <c r="P454" i="12"/>
  <c r="N454" i="12"/>
  <c r="M454" i="12"/>
  <c r="N449" i="12"/>
  <c r="L449" i="12"/>
  <c r="P448" i="12"/>
  <c r="O448" i="12"/>
  <c r="O445" i="12"/>
  <c r="N445" i="12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J434" i="12"/>
  <c r="J418" i="12" s="1"/>
  <c r="P431" i="12"/>
  <c r="L431" i="12"/>
  <c r="L429" i="12" s="1"/>
  <c r="O429" i="12" s="1"/>
  <c r="P430" i="12"/>
  <c r="O430" i="12"/>
  <c r="N429" i="12"/>
  <c r="M429" i="12"/>
  <c r="P429" i="12" s="1"/>
  <c r="N424" i="12"/>
  <c r="N421" i="12" s="1"/>
  <c r="L424" i="12"/>
  <c r="L422" i="12" s="1"/>
  <c r="P423" i="12"/>
  <c r="O423" i="12"/>
  <c r="P420" i="12"/>
  <c r="O420" i="12"/>
  <c r="N420" i="12"/>
  <c r="M420" i="12"/>
  <c r="L420" i="12"/>
  <c r="K413" i="12"/>
  <c r="K412" i="12"/>
  <c r="N410" i="12"/>
  <c r="M410" i="12"/>
  <c r="P410" i="12" s="1"/>
  <c r="L410" i="12"/>
  <c r="L408" i="12" s="1"/>
  <c r="O408" i="12" s="1"/>
  <c r="P409" i="12"/>
  <c r="O409" i="12"/>
  <c r="N407" i="12"/>
  <c r="N405" i="12" s="1"/>
  <c r="M407" i="12"/>
  <c r="M405" i="12" s="1"/>
  <c r="P405" i="12" s="1"/>
  <c r="L407" i="12"/>
  <c r="P406" i="12"/>
  <c r="O406" i="12"/>
  <c r="P403" i="12"/>
  <c r="O403" i="12"/>
  <c r="N403" i="12"/>
  <c r="M403" i="12"/>
  <c r="L403" i="12"/>
  <c r="K401" i="12"/>
  <c r="J401" i="12"/>
  <c r="I401" i="12"/>
  <c r="K400" i="12"/>
  <c r="K399" i="12"/>
  <c r="N397" i="12"/>
  <c r="M397" i="12"/>
  <c r="P397" i="12" s="1"/>
  <c r="L397" i="12"/>
  <c r="L395" i="12" s="1"/>
  <c r="O395" i="12" s="1"/>
  <c r="P396" i="12"/>
  <c r="O396" i="12"/>
  <c r="N394" i="12"/>
  <c r="N392" i="12" s="1"/>
  <c r="M394" i="12"/>
  <c r="P394" i="12" s="1"/>
  <c r="L394" i="12"/>
  <c r="L392" i="12" s="1"/>
  <c r="O392" i="12" s="1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P352" i="12"/>
  <c r="O352" i="12"/>
  <c r="N350" i="12"/>
  <c r="M350" i="12"/>
  <c r="M348" i="12" s="1"/>
  <c r="L350" i="12"/>
  <c r="L348" i="12" s="1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M334" i="12" s="1"/>
  <c r="L336" i="12"/>
  <c r="O336" i="12" s="1"/>
  <c r="P335" i="12"/>
  <c r="O335" i="12"/>
  <c r="N333" i="12"/>
  <c r="N331" i="12" s="1"/>
  <c r="M333" i="12"/>
  <c r="M331" i="12" s="1"/>
  <c r="L333" i="12"/>
  <c r="L331" i="12" s="1"/>
  <c r="P332" i="12"/>
  <c r="O332" i="12"/>
  <c r="O329" i="12"/>
  <c r="N329" i="12"/>
  <c r="M329" i="12"/>
  <c r="L329" i="12"/>
  <c r="I327" i="12"/>
  <c r="I325" i="12"/>
  <c r="K325" i="12" s="1"/>
  <c r="N323" i="12"/>
  <c r="N321" i="12" s="1"/>
  <c r="M323" i="12"/>
  <c r="P323" i="12" s="1"/>
  <c r="L323" i="12"/>
  <c r="L321" i="12" s="1"/>
  <c r="O321" i="12" s="1"/>
  <c r="P322" i="12"/>
  <c r="O322" i="12"/>
  <c r="N320" i="12"/>
  <c r="N318" i="12" s="1"/>
  <c r="M320" i="12"/>
  <c r="P320" i="12" s="1"/>
  <c r="L320" i="12"/>
  <c r="P319" i="12"/>
  <c r="O319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I297" i="12" s="1"/>
  <c r="K297" i="12" s="1"/>
  <c r="N306" i="12"/>
  <c r="N304" i="12" s="1"/>
  <c r="M306" i="12"/>
  <c r="L306" i="12"/>
  <c r="L304" i="12" s="1"/>
  <c r="O304" i="12" s="1"/>
  <c r="P305" i="12"/>
  <c r="O305" i="12"/>
  <c r="N303" i="12"/>
  <c r="N301" i="12" s="1"/>
  <c r="M303" i="12"/>
  <c r="M301" i="12" s="1"/>
  <c r="P301" i="12" s="1"/>
  <c r="L303" i="12"/>
  <c r="P302" i="12"/>
  <c r="O302" i="12"/>
  <c r="P299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J275" i="12" s="1"/>
  <c r="I287" i="12"/>
  <c r="I276" i="12" s="1"/>
  <c r="K276" i="12" s="1"/>
  <c r="N285" i="12"/>
  <c r="N283" i="12" s="1"/>
  <c r="M285" i="12"/>
  <c r="M283" i="12" s="1"/>
  <c r="P283" i="12" s="1"/>
  <c r="L285" i="12"/>
  <c r="O285" i="12" s="1"/>
  <c r="P284" i="12"/>
  <c r="O284" i="12"/>
  <c r="N282" i="12"/>
  <c r="M282" i="12"/>
  <c r="P282" i="12" s="1"/>
  <c r="L282" i="12"/>
  <c r="P281" i="12"/>
  <c r="O281" i="12"/>
  <c r="O278" i="12"/>
  <c r="N278" i="12"/>
  <c r="M278" i="12"/>
  <c r="L278" i="12"/>
  <c r="J276" i="12"/>
  <c r="I271" i="12"/>
  <c r="K271" i="12" s="1"/>
  <c r="N269" i="12"/>
  <c r="N267" i="12" s="1"/>
  <c r="M269" i="12"/>
  <c r="M267" i="12" s="1"/>
  <c r="P267" i="12" s="1"/>
  <c r="L269" i="12"/>
  <c r="L267" i="12" s="1"/>
  <c r="O267" i="12" s="1"/>
  <c r="P268" i="12"/>
  <c r="O268" i="12"/>
  <c r="N266" i="12"/>
  <c r="M266" i="12"/>
  <c r="M264" i="12" s="1"/>
  <c r="L266" i="12"/>
  <c r="P265" i="12"/>
  <c r="O265" i="12"/>
  <c r="P262" i="12"/>
  <c r="N262" i="12"/>
  <c r="M262" i="12"/>
  <c r="L262" i="12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J237" i="12"/>
  <c r="K236" i="12"/>
  <c r="J236" i="12"/>
  <c r="I236" i="12"/>
  <c r="J235" i="12"/>
  <c r="I235" i="12"/>
  <c r="K235" i="12" s="1"/>
  <c r="J233" i="12"/>
  <c r="N231" i="12"/>
  <c r="N230" i="12"/>
  <c r="N229" i="12"/>
  <c r="N228" i="12"/>
  <c r="N227" i="12"/>
  <c r="J226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P191" i="12"/>
  <c r="L191" i="12"/>
  <c r="O191" i="12" s="1"/>
  <c r="J190" i="12"/>
  <c r="N189" i="12"/>
  <c r="N187" i="12" s="1"/>
  <c r="M189" i="12"/>
  <c r="M187" i="12" s="1"/>
  <c r="P187" i="12" s="1"/>
  <c r="L189" i="12"/>
  <c r="O189" i="12" s="1"/>
  <c r="P188" i="12"/>
  <c r="O188" i="12"/>
  <c r="N186" i="12"/>
  <c r="M186" i="12"/>
  <c r="M184" i="12" s="1"/>
  <c r="L186" i="12"/>
  <c r="L184" i="12" s="1"/>
  <c r="P185" i="12"/>
  <c r="O185" i="12"/>
  <c r="P182" i="12"/>
  <c r="O182" i="12"/>
  <c r="N182" i="12"/>
  <c r="M182" i="12"/>
  <c r="L182" i="12"/>
  <c r="J180" i="12"/>
  <c r="J177" i="12"/>
  <c r="I176" i="12"/>
  <c r="I174" i="12" s="1"/>
  <c r="J174" i="12"/>
  <c r="J164" i="12" s="1"/>
  <c r="N173" i="12"/>
  <c r="N171" i="12" s="1"/>
  <c r="M173" i="12"/>
  <c r="M171" i="12" s="1"/>
  <c r="P171" i="12" s="1"/>
  <c r="L173" i="12"/>
  <c r="O173" i="12" s="1"/>
  <c r="P172" i="12"/>
  <c r="O172" i="12"/>
  <c r="N170" i="12"/>
  <c r="N168" i="12" s="1"/>
  <c r="M170" i="12"/>
  <c r="M168" i="12" s="1"/>
  <c r="L170" i="12"/>
  <c r="P169" i="12"/>
  <c r="O169" i="12"/>
  <c r="P166" i="12"/>
  <c r="N166" i="12"/>
  <c r="M166" i="12"/>
  <c r="L166" i="12"/>
  <c r="I159" i="12"/>
  <c r="I148" i="12" s="1"/>
  <c r="K148" i="12" s="1"/>
  <c r="N157" i="12"/>
  <c r="N155" i="12" s="1"/>
  <c r="M157" i="12"/>
  <c r="P157" i="12" s="1"/>
  <c r="L157" i="12"/>
  <c r="O157" i="12" s="1"/>
  <c r="P156" i="12"/>
  <c r="O156" i="12"/>
  <c r="N154" i="12"/>
  <c r="N152" i="12" s="1"/>
  <c r="M154" i="12"/>
  <c r="P154" i="12" s="1"/>
  <c r="L154" i="12"/>
  <c r="L152" i="12" s="1"/>
  <c r="O152" i="12" s="1"/>
  <c r="P153" i="12"/>
  <c r="O153" i="12"/>
  <c r="P150" i="12"/>
  <c r="N150" i="12"/>
  <c r="M150" i="12"/>
  <c r="L150" i="12"/>
  <c r="J148" i="12"/>
  <c r="I146" i="12"/>
  <c r="I130" i="12" s="1"/>
  <c r="K130" i="12" s="1"/>
  <c r="I145" i="12"/>
  <c r="K145" i="12" s="1"/>
  <c r="I144" i="12"/>
  <c r="K144" i="12" s="1"/>
  <c r="N140" i="12"/>
  <c r="N138" i="12" s="1"/>
  <c r="M140" i="12"/>
  <c r="M138" i="12" s="1"/>
  <c r="P138" i="12" s="1"/>
  <c r="L140" i="12"/>
  <c r="L138" i="12" s="1"/>
  <c r="O138" i="12" s="1"/>
  <c r="P139" i="12"/>
  <c r="O139" i="12"/>
  <c r="N137" i="12"/>
  <c r="N135" i="12" s="1"/>
  <c r="M137" i="12"/>
  <c r="M135" i="12" s="1"/>
  <c r="P135" i="12" s="1"/>
  <c r="L137" i="12"/>
  <c r="P136" i="12"/>
  <c r="O136" i="12"/>
  <c r="O133" i="12"/>
  <c r="N133" i="12"/>
  <c r="M133" i="12"/>
  <c r="P133" i="12" s="1"/>
  <c r="L133" i="12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M122" i="12" s="1"/>
  <c r="P122" i="12" s="1"/>
  <c r="L124" i="12"/>
  <c r="O124" i="12" s="1"/>
  <c r="P123" i="12"/>
  <c r="O123" i="12"/>
  <c r="P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K99" i="12" s="1"/>
  <c r="J98" i="12"/>
  <c r="J86" i="12" s="1"/>
  <c r="I98" i="12"/>
  <c r="I86" i="12" s="1"/>
  <c r="N96" i="12"/>
  <c r="N94" i="12" s="1"/>
  <c r="M96" i="12"/>
  <c r="M94" i="12" s="1"/>
  <c r="P94" i="12" s="1"/>
  <c r="L96" i="12"/>
  <c r="L94" i="12" s="1"/>
  <c r="O94" i="12" s="1"/>
  <c r="P95" i="12"/>
  <c r="O95" i="12"/>
  <c r="N93" i="12"/>
  <c r="M93" i="12"/>
  <c r="L93" i="12"/>
  <c r="P92" i="12"/>
  <c r="O92" i="12"/>
  <c r="P89" i="12"/>
  <c r="O89" i="12"/>
  <c r="N89" i="12"/>
  <c r="M89" i="12"/>
  <c r="L89" i="12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76" i="12"/>
  <c r="J64" i="12" s="1"/>
  <c r="N74" i="12"/>
  <c r="N72" i="12" s="1"/>
  <c r="M74" i="12"/>
  <c r="M72" i="12" s="1"/>
  <c r="P72" i="12" s="1"/>
  <c r="L74" i="12"/>
  <c r="P73" i="12"/>
  <c r="O73" i="12"/>
  <c r="N71" i="12"/>
  <c r="M71" i="12"/>
  <c r="M69" i="12" s="1"/>
  <c r="P69" i="12" s="1"/>
  <c r="L71" i="12"/>
  <c r="L69" i="12" s="1"/>
  <c r="O69" i="12" s="1"/>
  <c r="P70" i="12"/>
  <c r="O70" i="12"/>
  <c r="P67" i="12"/>
  <c r="O67" i="12"/>
  <c r="N67" i="12"/>
  <c r="M67" i="12"/>
  <c r="L67" i="12"/>
  <c r="J65" i="12"/>
  <c r="N61" i="12"/>
  <c r="N59" i="12" s="1"/>
  <c r="M61" i="12"/>
  <c r="M59" i="12" s="1"/>
  <c r="L61" i="12"/>
  <c r="P60" i="12"/>
  <c r="O60" i="12"/>
  <c r="N58" i="12"/>
  <c r="N56" i="12" s="1"/>
  <c r="M58" i="12"/>
  <c r="M56" i="12" s="1"/>
  <c r="L58" i="12"/>
  <c r="P57" i="12"/>
  <c r="O57" i="12"/>
  <c r="N54" i="12"/>
  <c r="M54" i="12"/>
  <c r="L54" i="12"/>
  <c r="N49" i="12"/>
  <c r="N47" i="12" s="1"/>
  <c r="M49" i="12"/>
  <c r="P49" i="12" s="1"/>
  <c r="L49" i="12"/>
  <c r="L47" i="12" s="1"/>
  <c r="O47" i="12" s="1"/>
  <c r="P48" i="12"/>
  <c r="O48" i="12"/>
  <c r="N46" i="12"/>
  <c r="N44" i="12" s="1"/>
  <c r="M46" i="12"/>
  <c r="L46" i="12"/>
  <c r="L44" i="12" s="1"/>
  <c r="P45" i="12"/>
  <c r="O45" i="12"/>
  <c r="P42" i="12"/>
  <c r="N42" i="12"/>
  <c r="M42" i="12"/>
  <c r="L42" i="12"/>
  <c r="P36" i="12"/>
  <c r="N36" i="12"/>
  <c r="M36" i="12"/>
  <c r="N35" i="12"/>
  <c r="M35" i="12"/>
  <c r="P35" i="12" s="1"/>
  <c r="L35" i="12"/>
  <c r="N34" i="12"/>
  <c r="M34" i="12"/>
  <c r="P34" i="12" s="1"/>
  <c r="N33" i="12"/>
  <c r="O32" i="12"/>
  <c r="N32" i="12"/>
  <c r="N31" i="12" s="1"/>
  <c r="M32" i="12"/>
  <c r="M12" i="12" s="1"/>
  <c r="L32" i="12"/>
  <c r="N30" i="12"/>
  <c r="N25" i="12"/>
  <c r="N15" i="12" s="1"/>
  <c r="M25" i="12"/>
  <c r="L25" i="12"/>
  <c r="O25" i="12" s="1"/>
  <c r="P22" i="12"/>
  <c r="N22" i="12"/>
  <c r="M22" i="12"/>
  <c r="L22" i="12"/>
  <c r="O22" i="12" s="1"/>
  <c r="N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O815" i="11"/>
  <c r="N815" i="11"/>
  <c r="M815" i="11"/>
  <c r="P815" i="11" s="1"/>
  <c r="L815" i="11"/>
  <c r="P810" i="11"/>
  <c r="O810" i="11"/>
  <c r="N810" i="11"/>
  <c r="P809" i="11"/>
  <c r="O809" i="11"/>
  <c r="P808" i="11"/>
  <c r="O808" i="11"/>
  <c r="N808" i="11"/>
  <c r="M808" i="11"/>
  <c r="L808" i="11"/>
  <c r="N807" i="11"/>
  <c r="N805" i="11" s="1"/>
  <c r="M807" i="11"/>
  <c r="L807" i="11"/>
  <c r="L805" i="11" s="1"/>
  <c r="O805" i="11" s="1"/>
  <c r="P806" i="11"/>
  <c r="O806" i="11"/>
  <c r="N806" i="11"/>
  <c r="M806" i="11"/>
  <c r="L806" i="11"/>
  <c r="K804" i="11"/>
  <c r="J804" i="11"/>
  <c r="K802" i="11"/>
  <c r="J801" i="11"/>
  <c r="J800" i="11"/>
  <c r="J785" i="11" s="1"/>
  <c r="I800" i="11"/>
  <c r="K800" i="11" s="1"/>
  <c r="P798" i="11"/>
  <c r="O798" i="11"/>
  <c r="P797" i="11"/>
  <c r="O797" i="11"/>
  <c r="P796" i="11"/>
  <c r="O796" i="11"/>
  <c r="N796" i="11"/>
  <c r="M796" i="11"/>
  <c r="L796" i="11"/>
  <c r="P791" i="11"/>
  <c r="N791" i="11"/>
  <c r="N789" i="11" s="1"/>
  <c r="L791" i="11"/>
  <c r="L788" i="11" s="1"/>
  <c r="O788" i="11" s="1"/>
  <c r="P790" i="11"/>
  <c r="O790" i="11"/>
  <c r="P789" i="11"/>
  <c r="M789" i="11"/>
  <c r="P788" i="11"/>
  <c r="N788" i="11"/>
  <c r="N786" i="11" s="1"/>
  <c r="M788" i="11"/>
  <c r="N787" i="11"/>
  <c r="M787" i="11"/>
  <c r="P787" i="11" s="1"/>
  <c r="L787" i="11"/>
  <c r="P782" i="11"/>
  <c r="O782" i="11"/>
  <c r="P781" i="11"/>
  <c r="O781" i="11"/>
  <c r="N780" i="11"/>
  <c r="M780" i="11"/>
  <c r="P780" i="11" s="1"/>
  <c r="L780" i="11"/>
  <c r="O780" i="11" s="1"/>
  <c r="P775" i="11"/>
  <c r="O775" i="11"/>
  <c r="N775" i="11"/>
  <c r="N772" i="11" s="1"/>
  <c r="N770" i="11" s="1"/>
  <c r="P774" i="11"/>
  <c r="O774" i="11"/>
  <c r="P773" i="11"/>
  <c r="O773" i="11"/>
  <c r="N773" i="11"/>
  <c r="M773" i="11"/>
  <c r="L773" i="11"/>
  <c r="M772" i="11"/>
  <c r="M770" i="11" s="1"/>
  <c r="P770" i="11" s="1"/>
  <c r="L772" i="11"/>
  <c r="P771" i="11"/>
  <c r="O771" i="11"/>
  <c r="N771" i="11"/>
  <c r="M771" i="11"/>
  <c r="L771" i="1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P757" i="11"/>
  <c r="M757" i="11"/>
  <c r="L757" i="11"/>
  <c r="O757" i="11" s="1"/>
  <c r="P756" i="11"/>
  <c r="O756" i="11"/>
  <c r="M756" i="11"/>
  <c r="L756" i="11"/>
  <c r="N755" i="11"/>
  <c r="M755" i="11"/>
  <c r="L755" i="11"/>
  <c r="O755" i="11" s="1"/>
  <c r="K753" i="11"/>
  <c r="J753" i="11"/>
  <c r="P749" i="11"/>
  <c r="O749" i="11"/>
  <c r="P748" i="11"/>
  <c r="O748" i="11"/>
  <c r="N747" i="11"/>
  <c r="M747" i="11"/>
  <c r="P747" i="11" s="1"/>
  <c r="L747" i="11"/>
  <c r="O747" i="11" s="1"/>
  <c r="P742" i="11"/>
  <c r="O742" i="11"/>
  <c r="N742" i="11"/>
  <c r="P741" i="11"/>
  <c r="O741" i="11"/>
  <c r="P740" i="11"/>
  <c r="O740" i="11"/>
  <c r="N740" i="11"/>
  <c r="M740" i="11"/>
  <c r="L740" i="11"/>
  <c r="N739" i="11"/>
  <c r="M739" i="11"/>
  <c r="M737" i="11" s="1"/>
  <c r="P737" i="11" s="1"/>
  <c r="L739" i="11"/>
  <c r="P738" i="11"/>
  <c r="O738" i="11"/>
  <c r="N738" i="11"/>
  <c r="M738" i="11"/>
  <c r="L738" i="11"/>
  <c r="N737" i="1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N695" i="11"/>
  <c r="M695" i="11"/>
  <c r="L695" i="11"/>
  <c r="O695" i="11" s="1"/>
  <c r="P690" i="11"/>
  <c r="N690" i="11"/>
  <c r="N687" i="11" s="1"/>
  <c r="L690" i="11"/>
  <c r="O690" i="11" s="1"/>
  <c r="M688" i="11"/>
  <c r="P688" i="11" s="1"/>
  <c r="P687" i="11"/>
  <c r="M687" i="11"/>
  <c r="P686" i="11"/>
  <c r="O686" i="11"/>
  <c r="N686" i="11"/>
  <c r="N685" i="11" s="1"/>
  <c r="M686" i="11"/>
  <c r="L686" i="11"/>
  <c r="M685" i="11"/>
  <c r="P685" i="11" s="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5" i="11" s="1"/>
  <c r="P667" i="11"/>
  <c r="O667" i="11"/>
  <c r="P666" i="11"/>
  <c r="O666" i="11"/>
  <c r="N665" i="11"/>
  <c r="M665" i="11"/>
  <c r="P665" i="11" s="1"/>
  <c r="L665" i="11"/>
  <c r="O665" i="11" s="1"/>
  <c r="N660" i="11"/>
  <c r="L660" i="11"/>
  <c r="M660" i="11" s="1"/>
  <c r="P659" i="11"/>
  <c r="O659" i="11"/>
  <c r="N658" i="11"/>
  <c r="N657" i="11"/>
  <c r="N655" i="11" s="1"/>
  <c r="P656" i="11"/>
  <c r="N656" i="11"/>
  <c r="M656" i="11"/>
  <c r="L656" i="11"/>
  <c r="O656" i="11" s="1"/>
  <c r="K652" i="11"/>
  <c r="J652" i="11"/>
  <c r="J651" i="1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N634" i="11"/>
  <c r="L634" i="11"/>
  <c r="M634" i="11" s="1"/>
  <c r="P633" i="11"/>
  <c r="O633" i="11"/>
  <c r="P630" i="11"/>
  <c r="O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4" i="11"/>
  <c r="I594" i="11"/>
  <c r="K594" i="11" s="1"/>
  <c r="J593" i="11"/>
  <c r="I593" i="11"/>
  <c r="I592" i="11" s="1"/>
  <c r="J583" i="11"/>
  <c r="J577" i="11" s="1"/>
  <c r="J582" i="11"/>
  <c r="J576" i="11" s="1"/>
  <c r="J559" i="11" s="1"/>
  <c r="J543" i="11" s="1"/>
  <c r="I577" i="11"/>
  <c r="I576" i="11"/>
  <c r="J569" i="11"/>
  <c r="I569" i="1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O557" i="11" s="1"/>
  <c r="P556" i="11"/>
  <c r="O556" i="11"/>
  <c r="N555" i="11"/>
  <c r="N545" i="11" s="1"/>
  <c r="M555" i="11"/>
  <c r="P555" i="11" s="1"/>
  <c r="N549" i="11"/>
  <c r="L549" i="11"/>
  <c r="M549" i="11" s="1"/>
  <c r="P549" i="11" s="1"/>
  <c r="P548" i="11"/>
  <c r="O548" i="11"/>
  <c r="O545" i="11"/>
  <c r="L545" i="11"/>
  <c r="I542" i="11"/>
  <c r="K542" i="11" s="1"/>
  <c r="I541" i="11"/>
  <c r="K541" i="11" s="1"/>
  <c r="I540" i="11"/>
  <c r="K540" i="11" s="1"/>
  <c r="I539" i="11"/>
  <c r="K539" i="11" s="1"/>
  <c r="I538" i="11"/>
  <c r="I537" i="11"/>
  <c r="I522" i="11" s="1"/>
  <c r="K522" i="11" s="1"/>
  <c r="P535" i="11"/>
  <c r="L535" i="11"/>
  <c r="O535" i="11" s="1"/>
  <c r="P534" i="11"/>
  <c r="O534" i="11"/>
  <c r="P533" i="11"/>
  <c r="N533" i="11"/>
  <c r="M533" i="11"/>
  <c r="P528" i="11"/>
  <c r="N528" i="11"/>
  <c r="L528" i="11"/>
  <c r="L526" i="11" s="1"/>
  <c r="O526" i="11" s="1"/>
  <c r="P527" i="11"/>
  <c r="O527" i="11"/>
  <c r="M526" i="11"/>
  <c r="P526" i="11" s="1"/>
  <c r="P525" i="11"/>
  <c r="M525" i="11"/>
  <c r="O524" i="11"/>
  <c r="N524" i="11"/>
  <c r="M524" i="11"/>
  <c r="L524" i="11"/>
  <c r="K517" i="11"/>
  <c r="J517" i="1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P506" i="11"/>
  <c r="O506" i="11"/>
  <c r="M505" i="11"/>
  <c r="P505" i="11" s="1"/>
  <c r="L505" i="11"/>
  <c r="O505" i="11" s="1"/>
  <c r="P504" i="11"/>
  <c r="O504" i="11"/>
  <c r="M504" i="11"/>
  <c r="L504" i="11"/>
  <c r="O503" i="11"/>
  <c r="N503" i="11"/>
  <c r="M503" i="11"/>
  <c r="L503" i="11"/>
  <c r="L502" i="11"/>
  <c r="O502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P477" i="11"/>
  <c r="N477" i="11"/>
  <c r="M477" i="11"/>
  <c r="N472" i="11"/>
  <c r="N470" i="11" s="1"/>
  <c r="L472" i="11"/>
  <c r="P471" i="11"/>
  <c r="O471" i="11"/>
  <c r="N469" i="11"/>
  <c r="N468" i="11"/>
  <c r="N467" i="11" s="1"/>
  <c r="M468" i="11"/>
  <c r="L468" i="11"/>
  <c r="J466" i="11"/>
  <c r="I466" i="11"/>
  <c r="J465" i="11"/>
  <c r="I465" i="11"/>
  <c r="I464" i="11"/>
  <c r="I463" i="11"/>
  <c r="I462" i="11"/>
  <c r="I460" i="11"/>
  <c r="K458" i="11"/>
  <c r="P456" i="11"/>
  <c r="L456" i="11"/>
  <c r="O456" i="11" s="1"/>
  <c r="P455" i="11"/>
  <c r="O455" i="11"/>
  <c r="P454" i="11"/>
  <c r="N454" i="11"/>
  <c r="M454" i="11"/>
  <c r="P449" i="11"/>
  <c r="N449" i="11"/>
  <c r="L449" i="11"/>
  <c r="L447" i="11" s="1"/>
  <c r="O447" i="11" s="1"/>
  <c r="P448" i="11"/>
  <c r="O448" i="11"/>
  <c r="M447" i="11"/>
  <c r="P447" i="11" s="1"/>
  <c r="P446" i="11"/>
  <c r="M446" i="11"/>
  <c r="O445" i="11"/>
  <c r="N445" i="11"/>
  <c r="M445" i="11"/>
  <c r="L445" i="1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K435" i="11" s="1"/>
  <c r="J434" i="11"/>
  <c r="J418" i="11" s="1"/>
  <c r="P431" i="11"/>
  <c r="L431" i="11"/>
  <c r="L429" i="11" s="1"/>
  <c r="O429" i="11" s="1"/>
  <c r="P430" i="11"/>
  <c r="O430" i="11"/>
  <c r="N429" i="11"/>
  <c r="M429" i="11"/>
  <c r="P429" i="11" s="1"/>
  <c r="N424" i="11"/>
  <c r="L424" i="11"/>
  <c r="P423" i="11"/>
  <c r="O423" i="11"/>
  <c r="N422" i="11"/>
  <c r="N421" i="11"/>
  <c r="P420" i="11"/>
  <c r="N420" i="11"/>
  <c r="M420" i="11"/>
  <c r="L420" i="11"/>
  <c r="O420" i="11" s="1"/>
  <c r="K413" i="11"/>
  <c r="K412" i="11"/>
  <c r="N410" i="11"/>
  <c r="N408" i="11" s="1"/>
  <c r="M410" i="11"/>
  <c r="P410" i="11" s="1"/>
  <c r="L410" i="11"/>
  <c r="L408" i="11" s="1"/>
  <c r="O408" i="11" s="1"/>
  <c r="P409" i="11"/>
  <c r="O409" i="11"/>
  <c r="N407" i="11"/>
  <c r="M407" i="11"/>
  <c r="L407" i="11"/>
  <c r="P406" i="11"/>
  <c r="O406" i="11"/>
  <c r="O403" i="11"/>
  <c r="N403" i="11"/>
  <c r="M403" i="11"/>
  <c r="P403" i="11" s="1"/>
  <c r="L403" i="11"/>
  <c r="K401" i="11"/>
  <c r="J401" i="11"/>
  <c r="I401" i="11"/>
  <c r="K400" i="11"/>
  <c r="K399" i="11"/>
  <c r="N397" i="11"/>
  <c r="M397" i="11"/>
  <c r="P397" i="11" s="1"/>
  <c r="L397" i="11"/>
  <c r="O397" i="11" s="1"/>
  <c r="P396" i="11"/>
  <c r="O396" i="11"/>
  <c r="N394" i="11"/>
  <c r="N392" i="11" s="1"/>
  <c r="M394" i="11"/>
  <c r="P394" i="11" s="1"/>
  <c r="L394" i="11"/>
  <c r="L392" i="11" s="1"/>
  <c r="O392" i="11" s="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P352" i="11"/>
  <c r="O352" i="11"/>
  <c r="N350" i="11"/>
  <c r="M350" i="11"/>
  <c r="M348" i="11" s="1"/>
  <c r="L350" i="11"/>
  <c r="L348" i="11" s="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P335" i="11"/>
  <c r="O335" i="11"/>
  <c r="N333" i="11"/>
  <c r="N331" i="11" s="1"/>
  <c r="M333" i="11"/>
  <c r="M331" i="11" s="1"/>
  <c r="L333" i="11"/>
  <c r="P332" i="11"/>
  <c r="O332" i="11"/>
  <c r="P329" i="11"/>
  <c r="O329" i="11"/>
  <c r="N329" i="11"/>
  <c r="M329" i="11"/>
  <c r="L329" i="11"/>
  <c r="I327" i="11"/>
  <c r="I325" i="11"/>
  <c r="I314" i="11" s="1"/>
  <c r="K314" i="11" s="1"/>
  <c r="N323" i="11"/>
  <c r="N321" i="11" s="1"/>
  <c r="M323" i="11"/>
  <c r="M321" i="11" s="1"/>
  <c r="P321" i="11" s="1"/>
  <c r="L323" i="11"/>
  <c r="L321" i="11" s="1"/>
  <c r="O321" i="11" s="1"/>
  <c r="P322" i="11"/>
  <c r="O322" i="11"/>
  <c r="N320" i="11"/>
  <c r="N318" i="11" s="1"/>
  <c r="M320" i="11"/>
  <c r="P320" i="11" s="1"/>
  <c r="L320" i="11"/>
  <c r="P319" i="11"/>
  <c r="O319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N306" i="11"/>
  <c r="N304" i="11" s="1"/>
  <c r="M306" i="11"/>
  <c r="P306" i="11" s="1"/>
  <c r="L306" i="11"/>
  <c r="L304" i="11" s="1"/>
  <c r="O304" i="11" s="1"/>
  <c r="P305" i="11"/>
  <c r="O305" i="11"/>
  <c r="N303" i="11"/>
  <c r="M303" i="11"/>
  <c r="M301" i="11" s="1"/>
  <c r="P301" i="11" s="1"/>
  <c r="L303" i="11"/>
  <c r="P302" i="11"/>
  <c r="O302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M285" i="11"/>
  <c r="M283" i="11" s="1"/>
  <c r="P283" i="11" s="1"/>
  <c r="L285" i="11"/>
  <c r="O285" i="11" s="1"/>
  <c r="P284" i="11"/>
  <c r="O284" i="11"/>
  <c r="N282" i="11"/>
  <c r="N280" i="11" s="1"/>
  <c r="M282" i="11"/>
  <c r="L282" i="11"/>
  <c r="L280" i="11" s="1"/>
  <c r="O280" i="11" s="1"/>
  <c r="P281" i="11"/>
  <c r="O281" i="11"/>
  <c r="N278" i="11"/>
  <c r="M278" i="11"/>
  <c r="P278" i="11" s="1"/>
  <c r="L278" i="11"/>
  <c r="J276" i="11"/>
  <c r="I271" i="11"/>
  <c r="I260" i="11" s="1"/>
  <c r="K260" i="11" s="1"/>
  <c r="N269" i="11"/>
  <c r="N267" i="11" s="1"/>
  <c r="M269" i="11"/>
  <c r="M267" i="11" s="1"/>
  <c r="P267" i="11" s="1"/>
  <c r="L269" i="11"/>
  <c r="O269" i="11" s="1"/>
  <c r="P268" i="11"/>
  <c r="O268" i="11"/>
  <c r="N266" i="11"/>
  <c r="N264" i="11" s="1"/>
  <c r="M266" i="11"/>
  <c r="M264" i="11" s="1"/>
  <c r="L266" i="11"/>
  <c r="P265" i="11"/>
  <c r="O265" i="11"/>
  <c r="P262" i="11"/>
  <c r="O262" i="11"/>
  <c r="N262" i="11"/>
  <c r="M262" i="11"/>
  <c r="L262" i="1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N227" i="11" s="1"/>
  <c r="J248" i="11"/>
  <c r="K247" i="11"/>
  <c r="K246" i="11"/>
  <c r="I244" i="11"/>
  <c r="L242" i="11"/>
  <c r="L241" i="11"/>
  <c r="L240" i="11"/>
  <c r="L239" i="11"/>
  <c r="P238" i="11"/>
  <c r="N238" i="11"/>
  <c r="J237" i="11"/>
  <c r="J236" i="11"/>
  <c r="I236" i="11"/>
  <c r="K236" i="11" s="1"/>
  <c r="J235" i="11"/>
  <c r="I235" i="11"/>
  <c r="K235" i="11" s="1"/>
  <c r="J233" i="11"/>
  <c r="N231" i="11"/>
  <c r="N230" i="11"/>
  <c r="N229" i="11"/>
  <c r="N228" i="11"/>
  <c r="J226" i="11"/>
  <c r="J180" i="11" s="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I190" i="11" s="1"/>
  <c r="K190" i="11" s="1"/>
  <c r="P191" i="11"/>
  <c r="L191" i="11"/>
  <c r="O191" i="11" s="1"/>
  <c r="J190" i="11"/>
  <c r="N189" i="11"/>
  <c r="N187" i="11" s="1"/>
  <c r="M189" i="11"/>
  <c r="P189" i="11" s="1"/>
  <c r="L189" i="11"/>
  <c r="O189" i="11" s="1"/>
  <c r="P188" i="11"/>
  <c r="O188" i="11"/>
  <c r="N186" i="11"/>
  <c r="N184" i="11" s="1"/>
  <c r="M186" i="11"/>
  <c r="L186" i="11"/>
  <c r="P185" i="11"/>
  <c r="O185" i="11"/>
  <c r="N182" i="11"/>
  <c r="M182" i="11"/>
  <c r="L182" i="11"/>
  <c r="J177" i="11"/>
  <c r="I176" i="11"/>
  <c r="K176" i="11" s="1"/>
  <c r="J174" i="11"/>
  <c r="N173" i="11"/>
  <c r="N171" i="11" s="1"/>
  <c r="M173" i="11"/>
  <c r="P173" i="11" s="1"/>
  <c r="L173" i="11"/>
  <c r="L171" i="11" s="1"/>
  <c r="O171" i="11" s="1"/>
  <c r="P172" i="11"/>
  <c r="O172" i="11"/>
  <c r="N170" i="11"/>
  <c r="N168" i="11" s="1"/>
  <c r="M170" i="11"/>
  <c r="M168" i="11" s="1"/>
  <c r="L170" i="11"/>
  <c r="P169" i="11"/>
  <c r="O169" i="11"/>
  <c r="N166" i="11"/>
  <c r="M166" i="11"/>
  <c r="L166" i="11"/>
  <c r="J164" i="11"/>
  <c r="I159" i="11"/>
  <c r="K159" i="11" s="1"/>
  <c r="N157" i="11"/>
  <c r="N155" i="11" s="1"/>
  <c r="M157" i="11"/>
  <c r="P157" i="11" s="1"/>
  <c r="L157" i="11"/>
  <c r="P156" i="11"/>
  <c r="O156" i="11"/>
  <c r="N154" i="11"/>
  <c r="M154" i="11"/>
  <c r="L154" i="11"/>
  <c r="L152" i="11" s="1"/>
  <c r="O152" i="11" s="1"/>
  <c r="P153" i="11"/>
  <c r="O153" i="11"/>
  <c r="P150" i="11"/>
  <c r="O150" i="11"/>
  <c r="N150" i="11"/>
  <c r="M150" i="11"/>
  <c r="L150" i="11"/>
  <c r="J148" i="11"/>
  <c r="I146" i="11"/>
  <c r="I130" i="11" s="1"/>
  <c r="K130" i="11" s="1"/>
  <c r="I145" i="11"/>
  <c r="I144" i="11"/>
  <c r="K144" i="11" s="1"/>
  <c r="N140" i="11"/>
  <c r="M140" i="11"/>
  <c r="P140" i="11" s="1"/>
  <c r="L140" i="11"/>
  <c r="O140" i="11" s="1"/>
  <c r="P139" i="11"/>
  <c r="O139" i="11"/>
  <c r="N137" i="11"/>
  <c r="N135" i="11" s="1"/>
  <c r="M137" i="11"/>
  <c r="P137" i="11" s="1"/>
  <c r="L137" i="11"/>
  <c r="O137" i="11" s="1"/>
  <c r="P136" i="11"/>
  <c r="O136" i="11"/>
  <c r="N133" i="11"/>
  <c r="M133" i="11"/>
  <c r="P133" i="11" s="1"/>
  <c r="L133" i="11"/>
  <c r="J130" i="11"/>
  <c r="N127" i="11"/>
  <c r="N125" i="11" s="1"/>
  <c r="M127" i="11"/>
  <c r="P127" i="11" s="1"/>
  <c r="L127" i="11"/>
  <c r="P126" i="11"/>
  <c r="O126" i="11"/>
  <c r="N124" i="11"/>
  <c r="M124" i="11"/>
  <c r="L124" i="11"/>
  <c r="L122" i="11" s="1"/>
  <c r="O122" i="11" s="1"/>
  <c r="P123" i="11"/>
  <c r="O123" i="11"/>
  <c r="P120" i="11"/>
  <c r="O120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I87" i="11" s="1"/>
  <c r="K87" i="11" s="1"/>
  <c r="J98" i="11"/>
  <c r="I98" i="11"/>
  <c r="I86" i="11" s="1"/>
  <c r="K86" i="11" s="1"/>
  <c r="N96" i="11"/>
  <c r="N94" i="11" s="1"/>
  <c r="M96" i="11"/>
  <c r="M94" i="11" s="1"/>
  <c r="P94" i="11" s="1"/>
  <c r="L96" i="11"/>
  <c r="O96" i="11" s="1"/>
  <c r="P95" i="11"/>
  <c r="O95" i="11"/>
  <c r="N93" i="11"/>
  <c r="N91" i="11" s="1"/>
  <c r="M93" i="11"/>
  <c r="M91" i="11" s="1"/>
  <c r="L93" i="11"/>
  <c r="P92" i="11"/>
  <c r="O92" i="11"/>
  <c r="N89" i="11"/>
  <c r="M89" i="11"/>
  <c r="L89" i="11"/>
  <c r="J87" i="1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K78" i="11" s="1"/>
  <c r="J77" i="11"/>
  <c r="J76" i="11"/>
  <c r="N74" i="11"/>
  <c r="N72" i="11" s="1"/>
  <c r="M74" i="11"/>
  <c r="M72" i="11" s="1"/>
  <c r="P72" i="11" s="1"/>
  <c r="L74" i="11"/>
  <c r="L72" i="11" s="1"/>
  <c r="O72" i="11" s="1"/>
  <c r="P73" i="11"/>
  <c r="O73" i="11"/>
  <c r="N71" i="11"/>
  <c r="M71" i="11"/>
  <c r="L71" i="11"/>
  <c r="P70" i="11"/>
  <c r="O70" i="11"/>
  <c r="N67" i="11"/>
  <c r="M67" i="11"/>
  <c r="L67" i="11"/>
  <c r="J65" i="11"/>
  <c r="J64" i="11"/>
  <c r="N61" i="11"/>
  <c r="N59" i="11" s="1"/>
  <c r="M61" i="11"/>
  <c r="L61" i="11"/>
  <c r="P60" i="11"/>
  <c r="O60" i="11"/>
  <c r="N58" i="11"/>
  <c r="N56" i="11" s="1"/>
  <c r="M58" i="11"/>
  <c r="M56" i="11" s="1"/>
  <c r="L58" i="11"/>
  <c r="P57" i="11"/>
  <c r="O57" i="11"/>
  <c r="P54" i="11"/>
  <c r="O54" i="11"/>
  <c r="N54" i="11"/>
  <c r="M54" i="11"/>
  <c r="L54" i="11"/>
  <c r="N49" i="11"/>
  <c r="N47" i="11" s="1"/>
  <c r="M49" i="11"/>
  <c r="L49" i="11"/>
  <c r="O49" i="11" s="1"/>
  <c r="P48" i="11"/>
  <c r="O48" i="11"/>
  <c r="N46" i="11"/>
  <c r="M46" i="11"/>
  <c r="L46" i="11"/>
  <c r="L44" i="11" s="1"/>
  <c r="P45" i="11"/>
  <c r="O45" i="11"/>
  <c r="P42" i="11"/>
  <c r="O42" i="11"/>
  <c r="N42" i="11"/>
  <c r="M42" i="11"/>
  <c r="L42" i="11"/>
  <c r="P36" i="11"/>
  <c r="N36" i="11"/>
  <c r="M36" i="11"/>
  <c r="N35" i="11"/>
  <c r="M35" i="11"/>
  <c r="L35" i="11"/>
  <c r="N33" i="11"/>
  <c r="N31" i="11" s="1"/>
  <c r="N32" i="11"/>
  <c r="M32" i="11"/>
  <c r="M12" i="11" s="1"/>
  <c r="L32" i="11"/>
  <c r="P25" i="11"/>
  <c r="N25" i="11"/>
  <c r="N19" i="11" s="1"/>
  <c r="M25" i="11"/>
  <c r="L25" i="11"/>
  <c r="O25" i="11" s="1"/>
  <c r="P22" i="11"/>
  <c r="O22" i="11"/>
  <c r="N22" i="11"/>
  <c r="M22" i="11"/>
  <c r="M19" i="11" s="1"/>
  <c r="P19" i="11" s="1"/>
  <c r="L22" i="11"/>
  <c r="O19" i="11"/>
  <c r="L19" i="11"/>
  <c r="N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J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8" i="10" s="1"/>
  <c r="P809" i="10"/>
  <c r="O809" i="10"/>
  <c r="P808" i="10"/>
  <c r="O808" i="10"/>
  <c r="M808" i="10"/>
  <c r="L808" i="10"/>
  <c r="O807" i="10"/>
  <c r="M807" i="10"/>
  <c r="P807" i="10" s="1"/>
  <c r="L807" i="10"/>
  <c r="N806" i="10"/>
  <c r="M806" i="10"/>
  <c r="P806" i="10" s="1"/>
  <c r="L806" i="10"/>
  <c r="O806" i="10" s="1"/>
  <c r="K804" i="10"/>
  <c r="J804" i="10"/>
  <c r="K802" i="10"/>
  <c r="J801" i="10"/>
  <c r="J800" i="10"/>
  <c r="J785" i="10" s="1"/>
  <c r="I800" i="10"/>
  <c r="I785" i="10" s="1"/>
  <c r="K785" i="10" s="1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L791" i="10"/>
  <c r="L788" i="10" s="1"/>
  <c r="O788" i="10" s="1"/>
  <c r="P790" i="10"/>
  <c r="O790" i="10"/>
  <c r="M789" i="10"/>
  <c r="P789" i="10" s="1"/>
  <c r="M788" i="10"/>
  <c r="P788" i="10" s="1"/>
  <c r="N787" i="10"/>
  <c r="N786" i="10" s="1"/>
  <c r="M787" i="10"/>
  <c r="P787" i="10" s="1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P774" i="10"/>
  <c r="O774" i="10"/>
  <c r="O773" i="10"/>
  <c r="N773" i="10"/>
  <c r="M773" i="10"/>
  <c r="P773" i="10" s="1"/>
  <c r="L773" i="10"/>
  <c r="P772" i="10"/>
  <c r="N772" i="10"/>
  <c r="M772" i="10"/>
  <c r="L772" i="10"/>
  <c r="O772" i="10" s="1"/>
  <c r="P771" i="10"/>
  <c r="N771" i="10"/>
  <c r="M771" i="10"/>
  <c r="L771" i="10"/>
  <c r="O771" i="10" s="1"/>
  <c r="P770" i="10"/>
  <c r="N770" i="10"/>
  <c r="M770" i="10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P758" i="10"/>
  <c r="O758" i="10"/>
  <c r="M757" i="10"/>
  <c r="P757" i="10" s="1"/>
  <c r="L757" i="10"/>
  <c r="O757" i="10" s="1"/>
  <c r="P756" i="10"/>
  <c r="O756" i="10"/>
  <c r="M756" i="10"/>
  <c r="L756" i="10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P741" i="10"/>
  <c r="O741" i="10"/>
  <c r="O740" i="10"/>
  <c r="N740" i="10"/>
  <c r="M740" i="10"/>
  <c r="P740" i="10" s="1"/>
  <c r="L740" i="10"/>
  <c r="N739" i="10"/>
  <c r="M739" i="10"/>
  <c r="P739" i="10" s="1"/>
  <c r="L739" i="10"/>
  <c r="O739" i="10" s="1"/>
  <c r="P738" i="10"/>
  <c r="N738" i="10"/>
  <c r="M738" i="10"/>
  <c r="L738" i="10"/>
  <c r="O738" i="10" s="1"/>
  <c r="P737" i="10"/>
  <c r="N737" i="10"/>
  <c r="M737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N695" i="10"/>
  <c r="M695" i="10"/>
  <c r="P695" i="10" s="1"/>
  <c r="L695" i="10"/>
  <c r="O695" i="10" s="1"/>
  <c r="P690" i="10"/>
  <c r="N690" i="10"/>
  <c r="N687" i="10" s="1"/>
  <c r="L690" i="10"/>
  <c r="O690" i="10" s="1"/>
  <c r="N688" i="10"/>
  <c r="M688" i="10"/>
  <c r="P688" i="10" s="1"/>
  <c r="P687" i="10"/>
  <c r="M687" i="10"/>
  <c r="P686" i="10"/>
  <c r="N686" i="10"/>
  <c r="M686" i="10"/>
  <c r="L686" i="10"/>
  <c r="O686" i="10" s="1"/>
  <c r="M685" i="10"/>
  <c r="P685" i="10" s="1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K675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L660" i="10"/>
  <c r="O660" i="10" s="1"/>
  <c r="P659" i="10"/>
  <c r="O659" i="10"/>
  <c r="N658" i="10"/>
  <c r="M658" i="10"/>
  <c r="P658" i="10" s="1"/>
  <c r="N657" i="10"/>
  <c r="M657" i="10"/>
  <c r="P657" i="10" s="1"/>
  <c r="P656" i="10"/>
  <c r="N656" i="10"/>
  <c r="M656" i="10"/>
  <c r="L656" i="10"/>
  <c r="O656" i="10" s="1"/>
  <c r="P655" i="10"/>
  <c r="N655" i="10"/>
  <c r="M655" i="10"/>
  <c r="K652" i="10"/>
  <c r="J652" i="10"/>
  <c r="J651" i="10"/>
  <c r="J628" i="10" s="1"/>
  <c r="I651" i="10"/>
  <c r="I628" i="10" s="1"/>
  <c r="K628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N639" i="10"/>
  <c r="M639" i="10"/>
  <c r="P639" i="10" s="1"/>
  <c r="P634" i="10"/>
  <c r="N634" i="10"/>
  <c r="N631" i="10" s="1"/>
  <c r="N629" i="10" s="1"/>
  <c r="L634" i="10"/>
  <c r="P633" i="10"/>
  <c r="O633" i="10"/>
  <c r="M632" i="10"/>
  <c r="P632" i="10" s="1"/>
  <c r="M631" i="10"/>
  <c r="P631" i="10" s="1"/>
  <c r="O630" i="10"/>
  <c r="N630" i="10"/>
  <c r="M630" i="10"/>
  <c r="P630" i="10" s="1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I594" i="10"/>
  <c r="J593" i="10"/>
  <c r="J592" i="10" s="1"/>
  <c r="I593" i="10"/>
  <c r="I592" i="10" s="1"/>
  <c r="J583" i="10"/>
  <c r="J582" i="10"/>
  <c r="J576" i="10" s="1"/>
  <c r="J559" i="10" s="1"/>
  <c r="J543" i="10" s="1"/>
  <c r="J577" i="10"/>
  <c r="I577" i="10"/>
  <c r="K577" i="10" s="1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P555" i="10"/>
  <c r="N555" i="10"/>
  <c r="M555" i="10"/>
  <c r="N549" i="10"/>
  <c r="L549" i="10"/>
  <c r="L547" i="10" s="1"/>
  <c r="P548" i="10"/>
  <c r="O548" i="10"/>
  <c r="O545" i="10"/>
  <c r="N545" i="10"/>
  <c r="M545" i="10"/>
  <c r="P545" i="10" s="1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N526" i="10" s="1"/>
  <c r="L528" i="10"/>
  <c r="P527" i="10"/>
  <c r="O527" i="10"/>
  <c r="P526" i="10"/>
  <c r="M526" i="10"/>
  <c r="P525" i="10"/>
  <c r="N525" i="10"/>
  <c r="M525" i="10"/>
  <c r="N524" i="10"/>
  <c r="M524" i="10"/>
  <c r="P524" i="10" s="1"/>
  <c r="L524" i="10"/>
  <c r="O524" i="10" s="1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N505" i="10" s="1"/>
  <c r="P506" i="10"/>
  <c r="O506" i="10"/>
  <c r="P505" i="10"/>
  <c r="M505" i="10"/>
  <c r="L505" i="10"/>
  <c r="O505" i="10" s="1"/>
  <c r="N504" i="10"/>
  <c r="N502" i="10" s="1"/>
  <c r="M504" i="10"/>
  <c r="P504" i="10" s="1"/>
  <c r="L504" i="10"/>
  <c r="O504" i="10" s="1"/>
  <c r="O503" i="10"/>
  <c r="N503" i="10"/>
  <c r="M503" i="10"/>
  <c r="P503" i="10" s="1"/>
  <c r="L503" i="10"/>
  <c r="O502" i="10"/>
  <c r="L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N477" i="10"/>
  <c r="M477" i="10"/>
  <c r="P477" i="10" s="1"/>
  <c r="N472" i="10"/>
  <c r="N470" i="10" s="1"/>
  <c r="L472" i="10"/>
  <c r="O472" i="10" s="1"/>
  <c r="P471" i="10"/>
  <c r="O471" i="10"/>
  <c r="N469" i="10"/>
  <c r="N468" i="10"/>
  <c r="M468" i="10"/>
  <c r="P468" i="10" s="1"/>
  <c r="L468" i="10"/>
  <c r="O468" i="10" s="1"/>
  <c r="N467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60" i="10" s="1"/>
  <c r="K458" i="10"/>
  <c r="P456" i="10"/>
  <c r="L456" i="10"/>
  <c r="O456" i="10" s="1"/>
  <c r="P455" i="10"/>
  <c r="O455" i="10"/>
  <c r="N454" i="10"/>
  <c r="M454" i="10"/>
  <c r="P454" i="10" s="1"/>
  <c r="N449" i="10"/>
  <c r="N447" i="10" s="1"/>
  <c r="L449" i="10"/>
  <c r="O449" i="10" s="1"/>
  <c r="P448" i="10"/>
  <c r="O448" i="10"/>
  <c r="N446" i="10"/>
  <c r="N445" i="10"/>
  <c r="N444" i="10" s="1"/>
  <c r="M445" i="10"/>
  <c r="P445" i="10" s="1"/>
  <c r="L445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I433" i="10" s="1"/>
  <c r="J434" i="10"/>
  <c r="J418" i="10" s="1"/>
  <c r="P431" i="10"/>
  <c r="L431" i="10"/>
  <c r="P430" i="10"/>
  <c r="O430" i="10"/>
  <c r="N429" i="10"/>
  <c r="M429" i="10"/>
  <c r="P429" i="10" s="1"/>
  <c r="N424" i="10"/>
  <c r="L424" i="10"/>
  <c r="L422" i="10" s="1"/>
  <c r="O422" i="10" s="1"/>
  <c r="P423" i="10"/>
  <c r="O423" i="10"/>
  <c r="N422" i="10"/>
  <c r="N421" i="10"/>
  <c r="P420" i="10"/>
  <c r="N420" i="10"/>
  <c r="M420" i="10"/>
  <c r="L420" i="10"/>
  <c r="O420" i="10" s="1"/>
  <c r="N419" i="10"/>
  <c r="K413" i="10"/>
  <c r="K412" i="10"/>
  <c r="N410" i="10"/>
  <c r="N408" i="10" s="1"/>
  <c r="M410" i="10"/>
  <c r="P410" i="10" s="1"/>
  <c r="L410" i="10"/>
  <c r="L408" i="10" s="1"/>
  <c r="O408" i="10" s="1"/>
  <c r="P409" i="10"/>
  <c r="O409" i="10"/>
  <c r="N407" i="10"/>
  <c r="N405" i="10" s="1"/>
  <c r="M407" i="10"/>
  <c r="P407" i="10" s="1"/>
  <c r="L407" i="10"/>
  <c r="P406" i="10"/>
  <c r="O406" i="10"/>
  <c r="N403" i="10"/>
  <c r="M403" i="10"/>
  <c r="L403" i="10"/>
  <c r="O403" i="10" s="1"/>
  <c r="J401" i="10"/>
  <c r="I401" i="10"/>
  <c r="K401" i="10" s="1"/>
  <c r="K400" i="10"/>
  <c r="K399" i="10"/>
  <c r="N397" i="10"/>
  <c r="N395" i="10" s="1"/>
  <c r="M397" i="10"/>
  <c r="P397" i="10" s="1"/>
  <c r="L397" i="10"/>
  <c r="P396" i="10"/>
  <c r="O396" i="10"/>
  <c r="N394" i="10"/>
  <c r="N392" i="10" s="1"/>
  <c r="M394" i="10"/>
  <c r="P394" i="10" s="1"/>
  <c r="L394" i="10"/>
  <c r="O394" i="10" s="1"/>
  <c r="P393" i="10"/>
  <c r="O393" i="10"/>
  <c r="P390" i="10"/>
  <c r="O390" i="10"/>
  <c r="N390" i="10"/>
  <c r="M390" i="10"/>
  <c r="L390" i="10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P352" i="10"/>
  <c r="O352" i="10"/>
  <c r="N350" i="10"/>
  <c r="M350" i="10"/>
  <c r="M348" i="10" s="1"/>
  <c r="L350" i="10"/>
  <c r="P349" i="10"/>
  <c r="O349" i="10"/>
  <c r="O346" i="10"/>
  <c r="N346" i="10"/>
  <c r="M346" i="10"/>
  <c r="P346" i="10" s="1"/>
  <c r="L346" i="10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O336" i="10" s="1"/>
  <c r="P335" i="10"/>
  <c r="O335" i="10"/>
  <c r="N333" i="10"/>
  <c r="M333" i="10"/>
  <c r="L333" i="10"/>
  <c r="P332" i="10"/>
  <c r="O332" i="10"/>
  <c r="O329" i="10"/>
  <c r="N329" i="10"/>
  <c r="M329" i="10"/>
  <c r="P329" i="10" s="1"/>
  <c r="L329" i="10"/>
  <c r="I327" i="10"/>
  <c r="I325" i="10"/>
  <c r="K325" i="10" s="1"/>
  <c r="N323" i="10"/>
  <c r="N321" i="10" s="1"/>
  <c r="M323" i="10"/>
  <c r="P323" i="10" s="1"/>
  <c r="L323" i="10"/>
  <c r="O323" i="10" s="1"/>
  <c r="P322" i="10"/>
  <c r="O322" i="10"/>
  <c r="N320" i="10"/>
  <c r="N318" i="10" s="1"/>
  <c r="M320" i="10"/>
  <c r="P320" i="10" s="1"/>
  <c r="L320" i="10"/>
  <c r="L318" i="10" s="1"/>
  <c r="O318" i="10" s="1"/>
  <c r="P319" i="10"/>
  <c r="O319" i="10"/>
  <c r="N316" i="10"/>
  <c r="M316" i="10"/>
  <c r="P316" i="10" s="1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O306" i="10" s="1"/>
  <c r="P305" i="10"/>
  <c r="O305" i="10"/>
  <c r="N303" i="10"/>
  <c r="N301" i="10" s="1"/>
  <c r="M303" i="10"/>
  <c r="P303" i="10" s="1"/>
  <c r="L303" i="10"/>
  <c r="P302" i="10"/>
  <c r="O302" i="10"/>
  <c r="N299" i="10"/>
  <c r="M299" i="10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K287" i="10" s="1"/>
  <c r="N285" i="10"/>
  <c r="N283" i="10" s="1"/>
  <c r="M285" i="10"/>
  <c r="P285" i="10" s="1"/>
  <c r="L285" i="10"/>
  <c r="L283" i="10" s="1"/>
  <c r="O283" i="10" s="1"/>
  <c r="P284" i="10"/>
  <c r="O284" i="10"/>
  <c r="N282" i="10"/>
  <c r="N280" i="10" s="1"/>
  <c r="M282" i="10"/>
  <c r="M280" i="10" s="1"/>
  <c r="P280" i="10" s="1"/>
  <c r="L282" i="10"/>
  <c r="O282" i="10" s="1"/>
  <c r="P281" i="10"/>
  <c r="O281" i="10"/>
  <c r="N278" i="10"/>
  <c r="M278" i="10"/>
  <c r="P278" i="10" s="1"/>
  <c r="L278" i="10"/>
  <c r="J276" i="10"/>
  <c r="I271" i="10"/>
  <c r="K271" i="10" s="1"/>
  <c r="N269" i="10"/>
  <c r="N267" i="10" s="1"/>
  <c r="M269" i="10"/>
  <c r="P269" i="10" s="1"/>
  <c r="L269" i="10"/>
  <c r="O269" i="10" s="1"/>
  <c r="P268" i="10"/>
  <c r="O268" i="10"/>
  <c r="N266" i="10"/>
  <c r="N264" i="10" s="1"/>
  <c r="M266" i="10"/>
  <c r="L266" i="10"/>
  <c r="L264" i="10" s="1"/>
  <c r="P265" i="10"/>
  <c r="O265" i="10"/>
  <c r="P262" i="10"/>
  <c r="N262" i="10"/>
  <c r="M262" i="10"/>
  <c r="L262" i="10"/>
  <c r="O262" i="10" s="1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N227" i="10" s="1"/>
  <c r="J237" i="10"/>
  <c r="J236" i="10"/>
  <c r="I236" i="10"/>
  <c r="K236" i="10" s="1"/>
  <c r="K235" i="10"/>
  <c r="J235" i="10"/>
  <c r="I235" i="10"/>
  <c r="J233" i="10"/>
  <c r="N231" i="10"/>
  <c r="N230" i="10"/>
  <c r="N229" i="10"/>
  <c r="N228" i="10"/>
  <c r="J226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I204" i="10"/>
  <c r="K204" i="10" s="1"/>
  <c r="L202" i="10"/>
  <c r="L201" i="10"/>
  <c r="L200" i="10"/>
  <c r="L199" i="10"/>
  <c r="P198" i="10"/>
  <c r="N198" i="10"/>
  <c r="J197" i="10"/>
  <c r="J194" i="10"/>
  <c r="I193" i="10"/>
  <c r="I190" i="10" s="1"/>
  <c r="K190" i="10" s="1"/>
  <c r="P191" i="10"/>
  <c r="L191" i="10"/>
  <c r="O191" i="10" s="1"/>
  <c r="J190" i="10"/>
  <c r="N189" i="10"/>
  <c r="N187" i="10" s="1"/>
  <c r="M189" i="10"/>
  <c r="M187" i="10" s="1"/>
  <c r="P187" i="10" s="1"/>
  <c r="L189" i="10"/>
  <c r="L187" i="10" s="1"/>
  <c r="O187" i="10" s="1"/>
  <c r="P188" i="10"/>
  <c r="O188" i="10"/>
  <c r="N186" i="10"/>
  <c r="N184" i="10" s="1"/>
  <c r="M186" i="10"/>
  <c r="L186" i="10"/>
  <c r="P185" i="10"/>
  <c r="O185" i="10"/>
  <c r="N182" i="10"/>
  <c r="M182" i="10"/>
  <c r="L182" i="10"/>
  <c r="J180" i="10"/>
  <c r="J177" i="10"/>
  <c r="I176" i="10"/>
  <c r="K176" i="10" s="1"/>
  <c r="J174" i="10"/>
  <c r="N173" i="10"/>
  <c r="N171" i="10" s="1"/>
  <c r="M173" i="10"/>
  <c r="M171" i="10" s="1"/>
  <c r="P171" i="10" s="1"/>
  <c r="L173" i="10"/>
  <c r="O173" i="10" s="1"/>
  <c r="P172" i="10"/>
  <c r="O172" i="10"/>
  <c r="N170" i="10"/>
  <c r="N168" i="10" s="1"/>
  <c r="M170" i="10"/>
  <c r="M168" i="10" s="1"/>
  <c r="L170" i="10"/>
  <c r="P169" i="10"/>
  <c r="O169" i="10"/>
  <c r="O166" i="10"/>
  <c r="N166" i="10"/>
  <c r="M166" i="10"/>
  <c r="P166" i="10" s="1"/>
  <c r="L166" i="10"/>
  <c r="J164" i="10"/>
  <c r="I159" i="10"/>
  <c r="K159" i="10" s="1"/>
  <c r="N157" i="10"/>
  <c r="M157" i="10"/>
  <c r="P157" i="10" s="1"/>
  <c r="L157" i="10"/>
  <c r="O157" i="10" s="1"/>
  <c r="P156" i="10"/>
  <c r="O156" i="10"/>
  <c r="N154" i="10"/>
  <c r="N152" i="10" s="1"/>
  <c r="M154" i="10"/>
  <c r="M152" i="10" s="1"/>
  <c r="P152" i="10" s="1"/>
  <c r="L154" i="10"/>
  <c r="L152" i="10" s="1"/>
  <c r="O152" i="10" s="1"/>
  <c r="P153" i="10"/>
  <c r="O153" i="10"/>
  <c r="P150" i="10"/>
  <c r="N150" i="10"/>
  <c r="M150" i="10"/>
  <c r="L150" i="10"/>
  <c r="O150" i="10" s="1"/>
  <c r="J148" i="10"/>
  <c r="I146" i="10"/>
  <c r="K146" i="10" s="1"/>
  <c r="I145" i="10"/>
  <c r="I144" i="10"/>
  <c r="K144" i="10" s="1"/>
  <c r="N140" i="10"/>
  <c r="N138" i="10" s="1"/>
  <c r="M140" i="10"/>
  <c r="P140" i="10" s="1"/>
  <c r="L140" i="10"/>
  <c r="O140" i="10" s="1"/>
  <c r="P139" i="10"/>
  <c r="O139" i="10"/>
  <c r="N137" i="10"/>
  <c r="N135" i="10" s="1"/>
  <c r="M137" i="10"/>
  <c r="L137" i="10"/>
  <c r="L135" i="10" s="1"/>
  <c r="O135" i="10" s="1"/>
  <c r="P136" i="10"/>
  <c r="O136" i="10"/>
  <c r="P133" i="10"/>
  <c r="N133" i="10"/>
  <c r="M133" i="10"/>
  <c r="L133" i="10"/>
  <c r="O133" i="10" s="1"/>
  <c r="J130" i="10"/>
  <c r="N127" i="10"/>
  <c r="N125" i="10" s="1"/>
  <c r="M127" i="10"/>
  <c r="M125" i="10" s="1"/>
  <c r="P125" i="10" s="1"/>
  <c r="L127" i="10"/>
  <c r="O127" i="10" s="1"/>
  <c r="P126" i="10"/>
  <c r="O126" i="10"/>
  <c r="N124" i="10"/>
  <c r="N122" i="10" s="1"/>
  <c r="M124" i="10"/>
  <c r="L124" i="10"/>
  <c r="O124" i="10" s="1"/>
  <c r="P123" i="10"/>
  <c r="O123" i="10"/>
  <c r="P120" i="10"/>
  <c r="N120" i="10"/>
  <c r="M120" i="10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J86" i="10" s="1"/>
  <c r="I98" i="10"/>
  <c r="I86" i="10" s="1"/>
  <c r="K86" i="10" s="1"/>
  <c r="N96" i="10"/>
  <c r="N94" i="10" s="1"/>
  <c r="M96" i="10"/>
  <c r="P96" i="10" s="1"/>
  <c r="L96" i="10"/>
  <c r="O96" i="10" s="1"/>
  <c r="P95" i="10"/>
  <c r="O95" i="10"/>
  <c r="N93" i="10"/>
  <c r="M93" i="10"/>
  <c r="M91" i="10" s="1"/>
  <c r="L93" i="10"/>
  <c r="P92" i="10"/>
  <c r="O92" i="10"/>
  <c r="O89" i="10"/>
  <c r="N89" i="10"/>
  <c r="M89" i="10"/>
  <c r="P89" i="10" s="1"/>
  <c r="L89" i="10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K78" i="10" s="1"/>
  <c r="J77" i="10"/>
  <c r="J76" i="10"/>
  <c r="N74" i="10"/>
  <c r="N72" i="10" s="1"/>
  <c r="M74" i="10"/>
  <c r="P74" i="10" s="1"/>
  <c r="L74" i="10"/>
  <c r="O74" i="10" s="1"/>
  <c r="P73" i="10"/>
  <c r="O73" i="10"/>
  <c r="N71" i="10"/>
  <c r="N69" i="10" s="1"/>
  <c r="M71" i="10"/>
  <c r="L71" i="10"/>
  <c r="P70" i="10"/>
  <c r="O70" i="10"/>
  <c r="P67" i="10"/>
  <c r="N67" i="10"/>
  <c r="M67" i="10"/>
  <c r="L67" i="10"/>
  <c r="O67" i="10" s="1"/>
  <c r="J65" i="10"/>
  <c r="J64" i="10"/>
  <c r="N61" i="10"/>
  <c r="N59" i="10" s="1"/>
  <c r="M61" i="10"/>
  <c r="P61" i="10" s="1"/>
  <c r="L61" i="10"/>
  <c r="O61" i="10" s="1"/>
  <c r="P60" i="10"/>
  <c r="O60" i="10"/>
  <c r="N58" i="10"/>
  <c r="N56" i="10" s="1"/>
  <c r="M58" i="10"/>
  <c r="L58" i="10"/>
  <c r="P57" i="10"/>
  <c r="O57" i="10"/>
  <c r="O54" i="10"/>
  <c r="N54" i="10"/>
  <c r="M54" i="10"/>
  <c r="P54" i="10" s="1"/>
  <c r="L54" i="10"/>
  <c r="N49" i="10"/>
  <c r="N47" i="10" s="1"/>
  <c r="M49" i="10"/>
  <c r="L49" i="10"/>
  <c r="L47" i="10" s="1"/>
  <c r="O47" i="10" s="1"/>
  <c r="P48" i="10"/>
  <c r="O48" i="10"/>
  <c r="N46" i="10"/>
  <c r="M46" i="10"/>
  <c r="L46" i="10"/>
  <c r="P45" i="10"/>
  <c r="O45" i="10"/>
  <c r="N42" i="10"/>
  <c r="M42" i="10"/>
  <c r="P42" i="10" s="1"/>
  <c r="L42" i="10"/>
  <c r="O42" i="10" s="1"/>
  <c r="P36" i="10"/>
  <c r="N36" i="10"/>
  <c r="M36" i="10"/>
  <c r="P35" i="10"/>
  <c r="N35" i="10"/>
  <c r="N34" i="10" s="1"/>
  <c r="M35" i="10"/>
  <c r="L35" i="10"/>
  <c r="L15" i="10" s="1"/>
  <c r="M34" i="10"/>
  <c r="P34" i="10" s="1"/>
  <c r="N33" i="10"/>
  <c r="N31" i="10" s="1"/>
  <c r="O32" i="10"/>
  <c r="N32" i="10"/>
  <c r="M32" i="10"/>
  <c r="P32" i="10" s="1"/>
  <c r="L32" i="10"/>
  <c r="N30" i="10"/>
  <c r="N29" i="10"/>
  <c r="N28" i="10" s="1"/>
  <c r="L29" i="10"/>
  <c r="O29" i="10" s="1"/>
  <c r="O25" i="10"/>
  <c r="N25" i="10"/>
  <c r="M25" i="10"/>
  <c r="P25" i="10" s="1"/>
  <c r="L25" i="10"/>
  <c r="N22" i="10"/>
  <c r="N19" i="10" s="1"/>
  <c r="M22" i="10"/>
  <c r="P22" i="10" s="1"/>
  <c r="L22" i="10"/>
  <c r="O22" i="10" s="1"/>
  <c r="N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N815" i="9"/>
  <c r="M815" i="9"/>
  <c r="P815" i="9" s="1"/>
  <c r="L815" i="9"/>
  <c r="O815" i="9" s="1"/>
  <c r="P810" i="9"/>
  <c r="O810" i="9"/>
  <c r="N810" i="9"/>
  <c r="N807" i="9" s="1"/>
  <c r="N805" i="9" s="1"/>
  <c r="P809" i="9"/>
  <c r="O809" i="9"/>
  <c r="P808" i="9"/>
  <c r="O808" i="9"/>
  <c r="N808" i="9"/>
  <c r="M808" i="9"/>
  <c r="L808" i="9"/>
  <c r="M807" i="9"/>
  <c r="P807" i="9" s="1"/>
  <c r="L807" i="9"/>
  <c r="L805" i="9" s="1"/>
  <c r="P806" i="9"/>
  <c r="O806" i="9"/>
  <c r="N806" i="9"/>
  <c r="M806" i="9"/>
  <c r="L806" i="9"/>
  <c r="O805" i="9"/>
  <c r="M805" i="9"/>
  <c r="P805" i="9" s="1"/>
  <c r="K804" i="9"/>
  <c r="J804" i="9"/>
  <c r="K802" i="9"/>
  <c r="J801" i="9"/>
  <c r="J800" i="9"/>
  <c r="J785" i="9" s="1"/>
  <c r="I800" i="9"/>
  <c r="I785" i="9" s="1"/>
  <c r="K785" i="9" s="1"/>
  <c r="P798" i="9"/>
  <c r="O798" i="9"/>
  <c r="P797" i="9"/>
  <c r="O797" i="9"/>
  <c r="O796" i="9"/>
  <c r="N796" i="9"/>
  <c r="M796" i="9"/>
  <c r="P796" i="9" s="1"/>
  <c r="L796" i="9"/>
  <c r="P791" i="9"/>
  <c r="N791" i="9"/>
  <c r="N789" i="9" s="1"/>
  <c r="L791" i="9"/>
  <c r="L789" i="9" s="1"/>
  <c r="O789" i="9" s="1"/>
  <c r="P790" i="9"/>
  <c r="O790" i="9"/>
  <c r="P789" i="9"/>
  <c r="M789" i="9"/>
  <c r="N788" i="9"/>
  <c r="N786" i="9" s="1"/>
  <c r="M788" i="9"/>
  <c r="N787" i="9"/>
  <c r="M787" i="9"/>
  <c r="P787" i="9" s="1"/>
  <c r="L787" i="9"/>
  <c r="P782" i="9"/>
  <c r="O782" i="9"/>
  <c r="P781" i="9"/>
  <c r="O781" i="9"/>
  <c r="N780" i="9"/>
  <c r="M780" i="9"/>
  <c r="P780" i="9" s="1"/>
  <c r="L780" i="9"/>
  <c r="O780" i="9" s="1"/>
  <c r="P775" i="9"/>
  <c r="O775" i="9"/>
  <c r="N775" i="9"/>
  <c r="P774" i="9"/>
  <c r="O774" i="9"/>
  <c r="O773" i="9"/>
  <c r="N773" i="9"/>
  <c r="M773" i="9"/>
  <c r="P773" i="9" s="1"/>
  <c r="L773" i="9"/>
  <c r="P772" i="9"/>
  <c r="N772" i="9"/>
  <c r="M772" i="9"/>
  <c r="L772" i="9"/>
  <c r="O772" i="9" s="1"/>
  <c r="P771" i="9"/>
  <c r="O771" i="9"/>
  <c r="N771" i="9"/>
  <c r="M771" i="9"/>
  <c r="L771" i="9"/>
  <c r="N770" i="9"/>
  <c r="M770" i="9"/>
  <c r="P770" i="9" s="1"/>
  <c r="L770" i="9"/>
  <c r="O770" i="9" s="1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N757" i="9" s="1"/>
  <c r="P758" i="9"/>
  <c r="O758" i="9"/>
  <c r="P757" i="9"/>
  <c r="O757" i="9"/>
  <c r="M757" i="9"/>
  <c r="L757" i="9"/>
  <c r="P756" i="9"/>
  <c r="O756" i="9"/>
  <c r="M756" i="9"/>
  <c r="L756" i="9"/>
  <c r="N755" i="9"/>
  <c r="M755" i="9"/>
  <c r="L755" i="9"/>
  <c r="O755" i="9" s="1"/>
  <c r="K753" i="9"/>
  <c r="J753" i="9"/>
  <c r="P749" i="9"/>
  <c r="O749" i="9"/>
  <c r="P748" i="9"/>
  <c r="O748" i="9"/>
  <c r="N747" i="9"/>
  <c r="M747" i="9"/>
  <c r="P747" i="9" s="1"/>
  <c r="L747" i="9"/>
  <c r="O747" i="9" s="1"/>
  <c r="P742" i="9"/>
  <c r="O742" i="9"/>
  <c r="N742" i="9"/>
  <c r="P741" i="9"/>
  <c r="O741" i="9"/>
  <c r="O740" i="9"/>
  <c r="N740" i="9"/>
  <c r="M740" i="9"/>
  <c r="P740" i="9" s="1"/>
  <c r="L740" i="9"/>
  <c r="P739" i="9"/>
  <c r="N739" i="9"/>
  <c r="M739" i="9"/>
  <c r="L739" i="9"/>
  <c r="O739" i="9" s="1"/>
  <c r="P738" i="9"/>
  <c r="O738" i="9"/>
  <c r="N738" i="9"/>
  <c r="M738" i="9"/>
  <c r="L738" i="9"/>
  <c r="N737" i="9"/>
  <c r="M737" i="9"/>
  <c r="P737" i="9" s="1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O695" i="9"/>
  <c r="N695" i="9"/>
  <c r="M695" i="9"/>
  <c r="L695" i="9"/>
  <c r="P690" i="9"/>
  <c r="N690" i="9"/>
  <c r="L690" i="9"/>
  <c r="L687" i="9" s="1"/>
  <c r="O687" i="9" s="1"/>
  <c r="P688" i="9"/>
  <c r="M688" i="9"/>
  <c r="P687" i="9"/>
  <c r="M687" i="9"/>
  <c r="N686" i="9"/>
  <c r="M686" i="9"/>
  <c r="P686" i="9" s="1"/>
  <c r="L686" i="9"/>
  <c r="J679" i="9"/>
  <c r="J678" i="9"/>
  <c r="I678" i="9"/>
  <c r="K678" i="9" s="1"/>
  <c r="J675" i="9"/>
  <c r="I671" i="9"/>
  <c r="K671" i="9" s="1"/>
  <c r="I670" i="9"/>
  <c r="K670" i="9" s="1"/>
  <c r="J669" i="9"/>
  <c r="I669" i="9"/>
  <c r="K675" i="9" s="1"/>
  <c r="P667" i="9"/>
  <c r="O667" i="9"/>
  <c r="P666" i="9"/>
  <c r="O666" i="9"/>
  <c r="N665" i="9"/>
  <c r="M665" i="9"/>
  <c r="P665" i="9" s="1"/>
  <c r="L665" i="9"/>
  <c r="O665" i="9" s="1"/>
  <c r="N660" i="9"/>
  <c r="N657" i="9" s="1"/>
  <c r="N655" i="9" s="1"/>
  <c r="L660" i="9"/>
  <c r="M660" i="9" s="1"/>
  <c r="P659" i="9"/>
  <c r="O659" i="9"/>
  <c r="N658" i="9"/>
  <c r="P656" i="9"/>
  <c r="O656" i="9"/>
  <c r="N656" i="9"/>
  <c r="M656" i="9"/>
  <c r="L656" i="9"/>
  <c r="K652" i="9"/>
  <c r="J652" i="9"/>
  <c r="J651" i="9"/>
  <c r="J628" i="9" s="1"/>
  <c r="I651" i="9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P639" i="9"/>
  <c r="N639" i="9"/>
  <c r="M639" i="9"/>
  <c r="P634" i="9"/>
  <c r="N634" i="9"/>
  <c r="N631" i="9" s="1"/>
  <c r="L634" i="9"/>
  <c r="P633" i="9"/>
  <c r="O633" i="9"/>
  <c r="N632" i="9"/>
  <c r="M632" i="9"/>
  <c r="P632" i="9" s="1"/>
  <c r="P631" i="9"/>
  <c r="M631" i="9"/>
  <c r="P630" i="9"/>
  <c r="O630" i="9"/>
  <c r="N630" i="9"/>
  <c r="N629" i="9" s="1"/>
  <c r="M630" i="9"/>
  <c r="L630" i="9"/>
  <c r="M629" i="9"/>
  <c r="P629" i="9" s="1"/>
  <c r="J621" i="9"/>
  <c r="I621" i="9"/>
  <c r="J620" i="9"/>
  <c r="I620" i="9"/>
  <c r="K620" i="9" s="1"/>
  <c r="K613" i="9"/>
  <c r="J613" i="9"/>
  <c r="K612" i="9"/>
  <c r="J612" i="9"/>
  <c r="K611" i="9"/>
  <c r="J611" i="9"/>
  <c r="J604" i="9"/>
  <c r="J603" i="9"/>
  <c r="J593" i="9" s="1"/>
  <c r="J592" i="9" s="1"/>
  <c r="J596" i="9"/>
  <c r="J594" i="9" s="1"/>
  <c r="J595" i="9"/>
  <c r="I594" i="9"/>
  <c r="I593" i="9"/>
  <c r="I592" i="9" s="1"/>
  <c r="K592" i="9" s="1"/>
  <c r="J583" i="9"/>
  <c r="J582" i="9"/>
  <c r="J577" i="9"/>
  <c r="I577" i="9"/>
  <c r="K577" i="9" s="1"/>
  <c r="J576" i="9"/>
  <c r="I576" i="9"/>
  <c r="J569" i="9"/>
  <c r="I569" i="9"/>
  <c r="K569" i="9" s="1"/>
  <c r="J568" i="9"/>
  <c r="I568" i="9"/>
  <c r="J561" i="9"/>
  <c r="I561" i="9"/>
  <c r="K561" i="9" s="1"/>
  <c r="J560" i="9"/>
  <c r="I560" i="9"/>
  <c r="J559" i="9"/>
  <c r="P557" i="9"/>
  <c r="L557" i="9"/>
  <c r="L555" i="9" s="1"/>
  <c r="O555" i="9" s="1"/>
  <c r="P556" i="9"/>
  <c r="O556" i="9"/>
  <c r="P555" i="9"/>
  <c r="N555" i="9"/>
  <c r="M555" i="9"/>
  <c r="N549" i="9"/>
  <c r="N546" i="9" s="1"/>
  <c r="L549" i="9"/>
  <c r="P548" i="9"/>
  <c r="O548" i="9"/>
  <c r="N547" i="9"/>
  <c r="O545" i="9"/>
  <c r="N545" i="9"/>
  <c r="N544" i="9" s="1"/>
  <c r="M545" i="9"/>
  <c r="L545" i="9"/>
  <c r="J543" i="9"/>
  <c r="I542" i="9"/>
  <c r="K542" i="9" s="1"/>
  <c r="I541" i="9"/>
  <c r="K541" i="9" s="1"/>
  <c r="I540" i="9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N526" i="9" s="1"/>
  <c r="L528" i="9"/>
  <c r="P527" i="9"/>
  <c r="O527" i="9"/>
  <c r="P526" i="9"/>
  <c r="M526" i="9"/>
  <c r="M525" i="9"/>
  <c r="N524" i="9"/>
  <c r="M524" i="9"/>
  <c r="P524" i="9" s="1"/>
  <c r="L524" i="9"/>
  <c r="K517" i="9"/>
  <c r="J517" i="9"/>
  <c r="J501" i="9" s="1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N505" i="9" s="1"/>
  <c r="P506" i="9"/>
  <c r="O506" i="9"/>
  <c r="P505" i="9"/>
  <c r="O505" i="9"/>
  <c r="M505" i="9"/>
  <c r="L505" i="9"/>
  <c r="N504" i="9"/>
  <c r="M504" i="9"/>
  <c r="P504" i="9" s="1"/>
  <c r="L504" i="9"/>
  <c r="O504" i="9" s="1"/>
  <c r="N503" i="9"/>
  <c r="M503" i="9"/>
  <c r="P503" i="9" s="1"/>
  <c r="L503" i="9"/>
  <c r="N502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L477" i="9" s="1"/>
  <c r="O477" i="9" s="1"/>
  <c r="P478" i="9"/>
  <c r="O478" i="9"/>
  <c r="N477" i="9"/>
  <c r="M477" i="9"/>
  <c r="P477" i="9" s="1"/>
  <c r="N472" i="9"/>
  <c r="L472" i="9"/>
  <c r="P471" i="9"/>
  <c r="O471" i="9"/>
  <c r="N470" i="9"/>
  <c r="N469" i="9"/>
  <c r="P468" i="9"/>
  <c r="O468" i="9"/>
  <c r="N468" i="9"/>
  <c r="M468" i="9"/>
  <c r="L468" i="9"/>
  <c r="N467" i="9"/>
  <c r="J466" i="9"/>
  <c r="I466" i="9"/>
  <c r="J465" i="9"/>
  <c r="I465" i="9"/>
  <c r="I464" i="9"/>
  <c r="I463" i="9"/>
  <c r="I462" i="9"/>
  <c r="K462" i="9" s="1"/>
  <c r="I460" i="9"/>
  <c r="K458" i="9"/>
  <c r="P456" i="9"/>
  <c r="L456" i="9"/>
  <c r="O456" i="9" s="1"/>
  <c r="P455" i="9"/>
  <c r="O455" i="9"/>
  <c r="N454" i="9"/>
  <c r="M454" i="9"/>
  <c r="P454" i="9" s="1"/>
  <c r="N449" i="9"/>
  <c r="N447" i="9" s="1"/>
  <c r="L449" i="9"/>
  <c r="P448" i="9"/>
  <c r="O448" i="9"/>
  <c r="N446" i="9"/>
  <c r="N444" i="9" s="1"/>
  <c r="O445" i="9"/>
  <c r="N445" i="9"/>
  <c r="M445" i="9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I433" i="9" s="1"/>
  <c r="I417" i="9" s="1"/>
  <c r="J434" i="9"/>
  <c r="J418" i="9" s="1"/>
  <c r="P431" i="9"/>
  <c r="L431" i="9"/>
  <c r="P430" i="9"/>
  <c r="O430" i="9"/>
  <c r="N429" i="9"/>
  <c r="M429" i="9"/>
  <c r="P429" i="9" s="1"/>
  <c r="N424" i="9"/>
  <c r="N421" i="9" s="1"/>
  <c r="L424" i="9"/>
  <c r="P423" i="9"/>
  <c r="O423" i="9"/>
  <c r="P420" i="9"/>
  <c r="N420" i="9"/>
  <c r="M420" i="9"/>
  <c r="L420" i="9"/>
  <c r="N419" i="9"/>
  <c r="K413" i="9"/>
  <c r="K412" i="9"/>
  <c r="N410" i="9"/>
  <c r="N408" i="9" s="1"/>
  <c r="M410" i="9"/>
  <c r="P410" i="9" s="1"/>
  <c r="L410" i="9"/>
  <c r="P409" i="9"/>
  <c r="O409" i="9"/>
  <c r="N407" i="9"/>
  <c r="N405" i="9" s="1"/>
  <c r="M407" i="9"/>
  <c r="L407" i="9"/>
  <c r="O407" i="9" s="1"/>
  <c r="P406" i="9"/>
  <c r="O406" i="9"/>
  <c r="N403" i="9"/>
  <c r="M403" i="9"/>
  <c r="P403" i="9" s="1"/>
  <c r="L403" i="9"/>
  <c r="K401" i="9"/>
  <c r="J401" i="9"/>
  <c r="I401" i="9"/>
  <c r="K400" i="9"/>
  <c r="K399" i="9"/>
  <c r="N397" i="9"/>
  <c r="N395" i="9" s="1"/>
  <c r="M397" i="9"/>
  <c r="L397" i="9"/>
  <c r="P396" i="9"/>
  <c r="O396" i="9"/>
  <c r="N394" i="9"/>
  <c r="M394" i="9"/>
  <c r="M392" i="9" s="1"/>
  <c r="P392" i="9" s="1"/>
  <c r="L394" i="9"/>
  <c r="L392" i="9" s="1"/>
  <c r="O392" i="9" s="1"/>
  <c r="P393" i="9"/>
  <c r="O393" i="9"/>
  <c r="P390" i="9"/>
  <c r="N390" i="9"/>
  <c r="M390" i="9"/>
  <c r="L390" i="9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M351" i="9" s="1"/>
  <c r="L353" i="9"/>
  <c r="P352" i="9"/>
  <c r="O352" i="9"/>
  <c r="N350" i="9"/>
  <c r="M350" i="9"/>
  <c r="L350" i="9"/>
  <c r="L348" i="9" s="1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L336" i="9"/>
  <c r="L334" i="9" s="1"/>
  <c r="O334" i="9" s="1"/>
  <c r="P335" i="9"/>
  <c r="O335" i="9"/>
  <c r="N333" i="9"/>
  <c r="M333" i="9"/>
  <c r="L333" i="9"/>
  <c r="P332" i="9"/>
  <c r="O332" i="9"/>
  <c r="P329" i="9"/>
  <c r="O329" i="9"/>
  <c r="N329" i="9"/>
  <c r="M329" i="9"/>
  <c r="L329" i="9"/>
  <c r="I327" i="9"/>
  <c r="I325" i="9"/>
  <c r="N323" i="9"/>
  <c r="N321" i="9" s="1"/>
  <c r="M323" i="9"/>
  <c r="L323" i="9"/>
  <c r="P322" i="9"/>
  <c r="O322" i="9"/>
  <c r="N320" i="9"/>
  <c r="N318" i="9" s="1"/>
  <c r="M320" i="9"/>
  <c r="M318" i="9" s="1"/>
  <c r="P318" i="9" s="1"/>
  <c r="L320" i="9"/>
  <c r="P319" i="9"/>
  <c r="O319" i="9"/>
  <c r="P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P306" i="9" s="1"/>
  <c r="L306" i="9"/>
  <c r="L304" i="9" s="1"/>
  <c r="O304" i="9" s="1"/>
  <c r="P305" i="9"/>
  <c r="O305" i="9"/>
  <c r="N303" i="9"/>
  <c r="N301" i="9" s="1"/>
  <c r="M303" i="9"/>
  <c r="L303" i="9"/>
  <c r="P302" i="9"/>
  <c r="O302" i="9"/>
  <c r="P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K287" i="9" s="1"/>
  <c r="N285" i="9"/>
  <c r="N283" i="9" s="1"/>
  <c r="M285" i="9"/>
  <c r="L285" i="9"/>
  <c r="L283" i="9" s="1"/>
  <c r="O283" i="9" s="1"/>
  <c r="P284" i="9"/>
  <c r="O284" i="9"/>
  <c r="N282" i="9"/>
  <c r="N280" i="9" s="1"/>
  <c r="M282" i="9"/>
  <c r="M280" i="9" s="1"/>
  <c r="P280" i="9" s="1"/>
  <c r="L282" i="9"/>
  <c r="P281" i="9"/>
  <c r="O281" i="9"/>
  <c r="P278" i="9"/>
  <c r="N278" i="9"/>
  <c r="M278" i="9"/>
  <c r="L278" i="9"/>
  <c r="O278" i="9" s="1"/>
  <c r="J276" i="9"/>
  <c r="I271" i="9"/>
  <c r="K271" i="9" s="1"/>
  <c r="N269" i="9"/>
  <c r="N267" i="9" s="1"/>
  <c r="M269" i="9"/>
  <c r="P269" i="9" s="1"/>
  <c r="L269" i="9"/>
  <c r="P268" i="9"/>
  <c r="O268" i="9"/>
  <c r="N266" i="9"/>
  <c r="M266" i="9"/>
  <c r="L266" i="9"/>
  <c r="L264" i="9" s="1"/>
  <c r="P265" i="9"/>
  <c r="O265" i="9"/>
  <c r="N262" i="9"/>
  <c r="M262" i="9"/>
  <c r="P262" i="9" s="1"/>
  <c r="L262" i="9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N227" i="9" s="1"/>
  <c r="J237" i="9"/>
  <c r="J226" i="9" s="1"/>
  <c r="J180" i="9" s="1"/>
  <c r="J236" i="9"/>
  <c r="I236" i="9"/>
  <c r="K236" i="9" s="1"/>
  <c r="K235" i="9"/>
  <c r="J235" i="9"/>
  <c r="I235" i="9"/>
  <c r="J233" i="9"/>
  <c r="N231" i="9"/>
  <c r="N230" i="9"/>
  <c r="N229" i="9"/>
  <c r="N228" i="9"/>
  <c r="I225" i="9"/>
  <c r="K225" i="9" s="1"/>
  <c r="I224" i="9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I190" i="9" s="1"/>
  <c r="K190" i="9" s="1"/>
  <c r="P191" i="9"/>
  <c r="L191" i="9"/>
  <c r="O191" i="9" s="1"/>
  <c r="J190" i="9"/>
  <c r="N189" i="9"/>
  <c r="N187" i="9" s="1"/>
  <c r="M189" i="9"/>
  <c r="L189" i="9"/>
  <c r="L187" i="9" s="1"/>
  <c r="O187" i="9" s="1"/>
  <c r="P188" i="9"/>
  <c r="O188" i="9"/>
  <c r="N186" i="9"/>
  <c r="N184" i="9" s="1"/>
  <c r="M186" i="9"/>
  <c r="M184" i="9" s="1"/>
  <c r="L186" i="9"/>
  <c r="P185" i="9"/>
  <c r="O185" i="9"/>
  <c r="O182" i="9"/>
  <c r="N182" i="9"/>
  <c r="M182" i="9"/>
  <c r="P182" i="9" s="1"/>
  <c r="L182" i="9"/>
  <c r="J177" i="9"/>
  <c r="I176" i="9"/>
  <c r="J174" i="9"/>
  <c r="J164" i="9" s="1"/>
  <c r="N173" i="9"/>
  <c r="N171" i="9" s="1"/>
  <c r="M173" i="9"/>
  <c r="P173" i="9" s="1"/>
  <c r="L173" i="9"/>
  <c r="P172" i="9"/>
  <c r="O172" i="9"/>
  <c r="N170" i="9"/>
  <c r="N168" i="9" s="1"/>
  <c r="M170" i="9"/>
  <c r="M168" i="9" s="1"/>
  <c r="L170" i="9"/>
  <c r="P169" i="9"/>
  <c r="O169" i="9"/>
  <c r="O166" i="9"/>
  <c r="N166" i="9"/>
  <c r="M166" i="9"/>
  <c r="P166" i="9" s="1"/>
  <c r="L166" i="9"/>
  <c r="I159" i="9"/>
  <c r="K159" i="9" s="1"/>
  <c r="N157" i="9"/>
  <c r="N155" i="9" s="1"/>
  <c r="M157" i="9"/>
  <c r="P157" i="9" s="1"/>
  <c r="L157" i="9"/>
  <c r="O157" i="9" s="1"/>
  <c r="P156" i="9"/>
  <c r="O156" i="9"/>
  <c r="N154" i="9"/>
  <c r="N152" i="9" s="1"/>
  <c r="M154" i="9"/>
  <c r="M152" i="9" s="1"/>
  <c r="P152" i="9" s="1"/>
  <c r="L154" i="9"/>
  <c r="P153" i="9"/>
  <c r="O153" i="9"/>
  <c r="O150" i="9"/>
  <c r="N150" i="9"/>
  <c r="M150" i="9"/>
  <c r="L150" i="9"/>
  <c r="J148" i="9"/>
  <c r="I146" i="9"/>
  <c r="K146" i="9" s="1"/>
  <c r="I145" i="9"/>
  <c r="K145" i="9" s="1"/>
  <c r="I144" i="9"/>
  <c r="K144" i="9" s="1"/>
  <c r="N140" i="9"/>
  <c r="N138" i="9" s="1"/>
  <c r="M140" i="9"/>
  <c r="L140" i="9"/>
  <c r="L138" i="9" s="1"/>
  <c r="P139" i="9"/>
  <c r="O139" i="9"/>
  <c r="N137" i="9"/>
  <c r="N135" i="9" s="1"/>
  <c r="M137" i="9"/>
  <c r="L137" i="9"/>
  <c r="P136" i="9"/>
  <c r="O136" i="9"/>
  <c r="P133" i="9"/>
  <c r="O133" i="9"/>
  <c r="N133" i="9"/>
  <c r="M133" i="9"/>
  <c r="L133" i="9"/>
  <c r="J130" i="9"/>
  <c r="N127" i="9"/>
  <c r="N125" i="9" s="1"/>
  <c r="M127" i="9"/>
  <c r="P127" i="9" s="1"/>
  <c r="L127" i="9"/>
  <c r="L125" i="9" s="1"/>
  <c r="O125" i="9" s="1"/>
  <c r="P126" i="9"/>
  <c r="O126" i="9"/>
  <c r="N124" i="9"/>
  <c r="N122" i="9" s="1"/>
  <c r="M124" i="9"/>
  <c r="L124" i="9"/>
  <c r="P123" i="9"/>
  <c r="O123" i="9"/>
  <c r="O120" i="9"/>
  <c r="N120" i="9"/>
  <c r="M120" i="9"/>
  <c r="L120" i="9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I87" i="9" s="1"/>
  <c r="K87" i="9" s="1"/>
  <c r="J98" i="9"/>
  <c r="I98" i="9"/>
  <c r="I86" i="9" s="1"/>
  <c r="N96" i="9"/>
  <c r="N94" i="9" s="1"/>
  <c r="M96" i="9"/>
  <c r="M94" i="9" s="1"/>
  <c r="P94" i="9" s="1"/>
  <c r="L96" i="9"/>
  <c r="P95" i="9"/>
  <c r="O95" i="9"/>
  <c r="N93" i="9"/>
  <c r="M93" i="9"/>
  <c r="M91" i="9" s="1"/>
  <c r="L93" i="9"/>
  <c r="P92" i="9"/>
  <c r="O92" i="9"/>
  <c r="O89" i="9"/>
  <c r="N89" i="9"/>
  <c r="M89" i="9"/>
  <c r="P89" i="9" s="1"/>
  <c r="L89" i="9"/>
  <c r="J87" i="9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J77" i="9"/>
  <c r="J65" i="9" s="1"/>
  <c r="J76" i="9"/>
  <c r="N74" i="9"/>
  <c r="N72" i="9" s="1"/>
  <c r="M74" i="9"/>
  <c r="L74" i="9"/>
  <c r="L72" i="9" s="1"/>
  <c r="O72" i="9" s="1"/>
  <c r="P73" i="9"/>
  <c r="O73" i="9"/>
  <c r="N71" i="9"/>
  <c r="N69" i="9" s="1"/>
  <c r="M71" i="9"/>
  <c r="L71" i="9"/>
  <c r="L69" i="9" s="1"/>
  <c r="P70" i="9"/>
  <c r="O70" i="9"/>
  <c r="P67" i="9"/>
  <c r="N67" i="9"/>
  <c r="M67" i="9"/>
  <c r="L67" i="9"/>
  <c r="J64" i="9"/>
  <c r="N61" i="9"/>
  <c r="N59" i="9" s="1"/>
  <c r="M61" i="9"/>
  <c r="M59" i="9" s="1"/>
  <c r="P59" i="9" s="1"/>
  <c r="L61" i="9"/>
  <c r="P60" i="9"/>
  <c r="O60" i="9"/>
  <c r="N58" i="9"/>
  <c r="M58" i="9"/>
  <c r="L58" i="9"/>
  <c r="P57" i="9"/>
  <c r="O57" i="9"/>
  <c r="O54" i="9"/>
  <c r="N54" i="9"/>
  <c r="M54" i="9"/>
  <c r="L54" i="9"/>
  <c r="N49" i="9"/>
  <c r="N47" i="9" s="1"/>
  <c r="M49" i="9"/>
  <c r="P49" i="9" s="1"/>
  <c r="L49" i="9"/>
  <c r="O49" i="9" s="1"/>
  <c r="P48" i="9"/>
  <c r="O48" i="9"/>
  <c r="N46" i="9"/>
  <c r="N44" i="9" s="1"/>
  <c r="M46" i="9"/>
  <c r="L46" i="9"/>
  <c r="P45" i="9"/>
  <c r="O45" i="9"/>
  <c r="P42" i="9"/>
  <c r="N42" i="9"/>
  <c r="M42" i="9"/>
  <c r="L42" i="9"/>
  <c r="N36" i="9"/>
  <c r="M36" i="9"/>
  <c r="P36" i="9" s="1"/>
  <c r="P35" i="9"/>
  <c r="N35" i="9"/>
  <c r="N34" i="9" s="1"/>
  <c r="M35" i="9"/>
  <c r="L35" i="9"/>
  <c r="L29" i="9" s="1"/>
  <c r="N33" i="9"/>
  <c r="N30" i="9" s="1"/>
  <c r="O32" i="9"/>
  <c r="N32" i="9"/>
  <c r="M32" i="9"/>
  <c r="L32" i="9"/>
  <c r="O25" i="9"/>
  <c r="N25" i="9"/>
  <c r="M25" i="9"/>
  <c r="L25" i="9"/>
  <c r="N22" i="9"/>
  <c r="M22" i="9"/>
  <c r="P22" i="9" s="1"/>
  <c r="L22" i="9"/>
  <c r="M19" i="9"/>
  <c r="L19" i="9"/>
  <c r="M15" i="9"/>
  <c r="P15" i="9" s="1"/>
  <c r="L15" i="9"/>
  <c r="O15" i="9" s="1"/>
  <c r="N12" i="9"/>
  <c r="M12" i="9"/>
  <c r="P12" i="9" s="1"/>
  <c r="L12" i="9"/>
  <c r="O12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P808" i="8"/>
  <c r="O808" i="8"/>
  <c r="N808" i="8"/>
  <c r="M808" i="8"/>
  <c r="L808" i="8"/>
  <c r="O807" i="8"/>
  <c r="N807" i="8"/>
  <c r="N805" i="8" s="1"/>
  <c r="M807" i="8"/>
  <c r="M805" i="8" s="1"/>
  <c r="P805" i="8" s="1"/>
  <c r="L807" i="8"/>
  <c r="N806" i="8"/>
  <c r="M806" i="8"/>
  <c r="P806" i="8" s="1"/>
  <c r="L806" i="8"/>
  <c r="K804" i="8"/>
  <c r="J804" i="8"/>
  <c r="K802" i="8"/>
  <c r="J801" i="8"/>
  <c r="J800" i="8"/>
  <c r="J785" i="8" s="1"/>
  <c r="I800" i="8"/>
  <c r="K800" i="8" s="1"/>
  <c r="P798" i="8"/>
  <c r="O798" i="8"/>
  <c r="P797" i="8"/>
  <c r="O797" i="8"/>
  <c r="P796" i="8"/>
  <c r="O796" i="8"/>
  <c r="N796" i="8"/>
  <c r="M796" i="8"/>
  <c r="L796" i="8"/>
  <c r="P791" i="8"/>
  <c r="N791" i="8"/>
  <c r="N33" i="8" s="1"/>
  <c r="L791" i="8"/>
  <c r="L788" i="8" s="1"/>
  <c r="O788" i="8" s="1"/>
  <c r="P790" i="8"/>
  <c r="O790" i="8"/>
  <c r="M789" i="8"/>
  <c r="P789" i="8" s="1"/>
  <c r="P788" i="8"/>
  <c r="M788" i="8"/>
  <c r="N787" i="8"/>
  <c r="M787" i="8"/>
  <c r="P787" i="8" s="1"/>
  <c r="L787" i="8"/>
  <c r="O787" i="8" s="1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P773" i="8"/>
  <c r="O773" i="8"/>
  <c r="M773" i="8"/>
  <c r="L773" i="8"/>
  <c r="N772" i="8"/>
  <c r="N770" i="8" s="1"/>
  <c r="M772" i="8"/>
  <c r="P772" i="8" s="1"/>
  <c r="L772" i="8"/>
  <c r="L770" i="8" s="1"/>
  <c r="O770" i="8" s="1"/>
  <c r="N771" i="8"/>
  <c r="M771" i="8"/>
  <c r="P771" i="8" s="1"/>
  <c r="L771" i="8"/>
  <c r="O771" i="8" s="1"/>
  <c r="K769" i="8"/>
  <c r="J769" i="8"/>
  <c r="P766" i="8"/>
  <c r="O766" i="8"/>
  <c r="P765" i="8"/>
  <c r="O765" i="8"/>
  <c r="N764" i="8"/>
  <c r="M764" i="8"/>
  <c r="P764" i="8" s="1"/>
  <c r="L764" i="8"/>
  <c r="O764" i="8" s="1"/>
  <c r="P759" i="8"/>
  <c r="O759" i="8"/>
  <c r="N759" i="8"/>
  <c r="N756" i="8" s="1"/>
  <c r="P758" i="8"/>
  <c r="O758" i="8"/>
  <c r="M757" i="8"/>
  <c r="P757" i="8" s="1"/>
  <c r="L757" i="8"/>
  <c r="O757" i="8" s="1"/>
  <c r="P756" i="8"/>
  <c r="M756" i="8"/>
  <c r="L756" i="8"/>
  <c r="O756" i="8" s="1"/>
  <c r="O755" i="8"/>
  <c r="N755" i="8"/>
  <c r="N754" i="8" s="1"/>
  <c r="M755" i="8"/>
  <c r="P755" i="8" s="1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N740" i="8" s="1"/>
  <c r="P741" i="8"/>
  <c r="O741" i="8"/>
  <c r="P740" i="8"/>
  <c r="O740" i="8"/>
  <c r="M740" i="8"/>
  <c r="L740" i="8"/>
  <c r="N739" i="8"/>
  <c r="N737" i="8" s="1"/>
  <c r="M739" i="8"/>
  <c r="P739" i="8" s="1"/>
  <c r="L739" i="8"/>
  <c r="L737" i="8" s="1"/>
  <c r="O737" i="8" s="1"/>
  <c r="N738" i="8"/>
  <c r="M738" i="8"/>
  <c r="P738" i="8" s="1"/>
  <c r="L738" i="8"/>
  <c r="O738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N695" i="8"/>
  <c r="M695" i="8"/>
  <c r="P695" i="8" s="1"/>
  <c r="L695" i="8"/>
  <c r="O695" i="8" s="1"/>
  <c r="N690" i="8"/>
  <c r="L690" i="8"/>
  <c r="O690" i="8" s="1"/>
  <c r="N688" i="8"/>
  <c r="N687" i="8"/>
  <c r="P686" i="8"/>
  <c r="O686" i="8"/>
  <c r="N686" i="8"/>
  <c r="M686" i="8"/>
  <c r="L686" i="8"/>
  <c r="N685" i="8"/>
  <c r="J679" i="8"/>
  <c r="J678" i="8"/>
  <c r="I678" i="8"/>
  <c r="K678" i="8" s="1"/>
  <c r="J675" i="8"/>
  <c r="J669" i="8" s="1"/>
  <c r="J654" i="8" s="1"/>
  <c r="I671" i="8"/>
  <c r="K671" i="8" s="1"/>
  <c r="I670" i="8"/>
  <c r="K670" i="8" s="1"/>
  <c r="I669" i="8"/>
  <c r="K672" i="8" s="1"/>
  <c r="P667" i="8"/>
  <c r="O667" i="8"/>
  <c r="P666" i="8"/>
  <c r="O666" i="8"/>
  <c r="O665" i="8"/>
  <c r="N665" i="8"/>
  <c r="M665" i="8"/>
  <c r="P665" i="8" s="1"/>
  <c r="L665" i="8"/>
  <c r="P660" i="8"/>
  <c r="N660" i="8"/>
  <c r="N658" i="8" s="1"/>
  <c r="L660" i="8"/>
  <c r="L657" i="8" s="1"/>
  <c r="O657" i="8" s="1"/>
  <c r="P659" i="8"/>
  <c r="O659" i="8"/>
  <c r="P658" i="8"/>
  <c r="M658" i="8"/>
  <c r="N657" i="8"/>
  <c r="M657" i="8"/>
  <c r="P657" i="8" s="1"/>
  <c r="N656" i="8"/>
  <c r="N655" i="8" s="1"/>
  <c r="M656" i="8"/>
  <c r="P656" i="8" s="1"/>
  <c r="L656" i="8"/>
  <c r="P655" i="8"/>
  <c r="M655" i="8"/>
  <c r="K652" i="8"/>
  <c r="J652" i="8"/>
  <c r="J651" i="8"/>
  <c r="J628" i="8" s="1"/>
  <c r="I651" i="8"/>
  <c r="K651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N639" i="8"/>
  <c r="M639" i="8"/>
  <c r="P639" i="8" s="1"/>
  <c r="P634" i="8"/>
  <c r="N634" i="8"/>
  <c r="N631" i="8" s="1"/>
  <c r="N629" i="8" s="1"/>
  <c r="L634" i="8"/>
  <c r="O634" i="8" s="1"/>
  <c r="P633" i="8"/>
  <c r="O633" i="8"/>
  <c r="P632" i="8"/>
  <c r="M632" i="8"/>
  <c r="M631" i="8"/>
  <c r="P630" i="8"/>
  <c r="N630" i="8"/>
  <c r="M630" i="8"/>
  <c r="L630" i="8"/>
  <c r="O630" i="8" s="1"/>
  <c r="J621" i="8"/>
  <c r="I621" i="8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2" i="8" s="1"/>
  <c r="J594" i="8"/>
  <c r="I594" i="8"/>
  <c r="I593" i="8"/>
  <c r="I592" i="8" s="1"/>
  <c r="K592" i="8" s="1"/>
  <c r="J583" i="8"/>
  <c r="J577" i="8" s="1"/>
  <c r="J582" i="8"/>
  <c r="J576" i="8" s="1"/>
  <c r="J559" i="8" s="1"/>
  <c r="J543" i="8" s="1"/>
  <c r="I577" i="8"/>
  <c r="I576" i="8"/>
  <c r="K576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O557" i="8" s="1"/>
  <c r="P556" i="8"/>
  <c r="O556" i="8"/>
  <c r="N555" i="8"/>
  <c r="M555" i="8"/>
  <c r="P555" i="8" s="1"/>
  <c r="N549" i="8"/>
  <c r="L549" i="8"/>
  <c r="O549" i="8" s="1"/>
  <c r="P548" i="8"/>
  <c r="O548" i="8"/>
  <c r="N547" i="8"/>
  <c r="N546" i="8"/>
  <c r="P545" i="8"/>
  <c r="N545" i="8"/>
  <c r="M545" i="8"/>
  <c r="L545" i="8"/>
  <c r="O545" i="8" s="1"/>
  <c r="N544" i="8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O535" i="8" s="1"/>
  <c r="P534" i="8"/>
  <c r="O534" i="8"/>
  <c r="P533" i="8"/>
  <c r="N533" i="8"/>
  <c r="M533" i="8"/>
  <c r="P528" i="8"/>
  <c r="N528" i="8"/>
  <c r="L528" i="8"/>
  <c r="P527" i="8"/>
  <c r="O527" i="8"/>
  <c r="M526" i="8"/>
  <c r="P526" i="8" s="1"/>
  <c r="P525" i="8"/>
  <c r="M525" i="8"/>
  <c r="N524" i="8"/>
  <c r="M524" i="8"/>
  <c r="P524" i="8" s="1"/>
  <c r="L524" i="8"/>
  <c r="O524" i="8" s="1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N504" i="8" s="1"/>
  <c r="P506" i="8"/>
  <c r="O506" i="8"/>
  <c r="M505" i="8"/>
  <c r="P505" i="8" s="1"/>
  <c r="L505" i="8"/>
  <c r="O505" i="8" s="1"/>
  <c r="P504" i="8"/>
  <c r="O504" i="8"/>
  <c r="M504" i="8"/>
  <c r="L504" i="8"/>
  <c r="N503" i="8"/>
  <c r="N502" i="8" s="1"/>
  <c r="M503" i="8"/>
  <c r="P503" i="8" s="1"/>
  <c r="L503" i="8"/>
  <c r="O503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N477" i="8"/>
  <c r="M477" i="8"/>
  <c r="P477" i="8" s="1"/>
  <c r="N472" i="8"/>
  <c r="N470" i="8" s="1"/>
  <c r="L472" i="8"/>
  <c r="P471" i="8"/>
  <c r="O471" i="8"/>
  <c r="N469" i="8"/>
  <c r="N468" i="8"/>
  <c r="N467" i="8" s="1"/>
  <c r="M468" i="8"/>
  <c r="L468" i="8"/>
  <c r="O468" i="8" s="1"/>
  <c r="J466" i="8"/>
  <c r="I466" i="8"/>
  <c r="J465" i="8"/>
  <c r="I465" i="8"/>
  <c r="K465" i="8" s="1"/>
  <c r="I464" i="8"/>
  <c r="I463" i="8"/>
  <c r="I462" i="8"/>
  <c r="I460" i="8"/>
  <c r="I442" i="8" s="1"/>
  <c r="K442" i="8" s="1"/>
  <c r="K458" i="8"/>
  <c r="P456" i="8"/>
  <c r="L456" i="8"/>
  <c r="O456" i="8" s="1"/>
  <c r="P455" i="8"/>
  <c r="O455" i="8"/>
  <c r="P454" i="8"/>
  <c r="N454" i="8"/>
  <c r="M454" i="8"/>
  <c r="N449" i="8"/>
  <c r="L449" i="8"/>
  <c r="P448" i="8"/>
  <c r="O448" i="8"/>
  <c r="O445" i="8"/>
  <c r="N445" i="8"/>
  <c r="M445" i="8"/>
  <c r="P445" i="8" s="1"/>
  <c r="L445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I433" i="8" s="1"/>
  <c r="J434" i="8"/>
  <c r="P431" i="8"/>
  <c r="L431" i="8"/>
  <c r="P430" i="8"/>
  <c r="O430" i="8"/>
  <c r="N429" i="8"/>
  <c r="M429" i="8"/>
  <c r="P429" i="8" s="1"/>
  <c r="N424" i="8"/>
  <c r="L424" i="8"/>
  <c r="O424" i="8" s="1"/>
  <c r="P423" i="8"/>
  <c r="O423" i="8"/>
  <c r="N422" i="8"/>
  <c r="N421" i="8"/>
  <c r="N420" i="8"/>
  <c r="N419" i="8" s="1"/>
  <c r="M420" i="8"/>
  <c r="P420" i="8" s="1"/>
  <c r="L420" i="8"/>
  <c r="J418" i="8"/>
  <c r="K413" i="8"/>
  <c r="K412" i="8"/>
  <c r="N410" i="8"/>
  <c r="N408" i="8" s="1"/>
  <c r="M410" i="8"/>
  <c r="P410" i="8" s="1"/>
  <c r="L410" i="8"/>
  <c r="O410" i="8" s="1"/>
  <c r="P409" i="8"/>
  <c r="O409" i="8"/>
  <c r="N407" i="8"/>
  <c r="N405" i="8" s="1"/>
  <c r="M407" i="8"/>
  <c r="P407" i="8" s="1"/>
  <c r="L407" i="8"/>
  <c r="O407" i="8" s="1"/>
  <c r="P406" i="8"/>
  <c r="O406" i="8"/>
  <c r="P403" i="8"/>
  <c r="O403" i="8"/>
  <c r="N403" i="8"/>
  <c r="M403" i="8"/>
  <c r="L403" i="8"/>
  <c r="K401" i="8"/>
  <c r="J401" i="8"/>
  <c r="I401" i="8"/>
  <c r="K400" i="8"/>
  <c r="K399" i="8"/>
  <c r="N397" i="8"/>
  <c r="N395" i="8" s="1"/>
  <c r="M397" i="8"/>
  <c r="P397" i="8" s="1"/>
  <c r="L397" i="8"/>
  <c r="O397" i="8" s="1"/>
  <c r="P396" i="8"/>
  <c r="O396" i="8"/>
  <c r="N394" i="8"/>
  <c r="N392" i="8" s="1"/>
  <c r="M394" i="8"/>
  <c r="P394" i="8" s="1"/>
  <c r="L394" i="8"/>
  <c r="P393" i="8"/>
  <c r="O393" i="8"/>
  <c r="N390" i="8"/>
  <c r="M390" i="8"/>
  <c r="P390" i="8" s="1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K355" i="8" s="1"/>
  <c r="N353" i="8"/>
  <c r="N351" i="8" s="1"/>
  <c r="M353" i="8"/>
  <c r="M351" i="8" s="1"/>
  <c r="L353" i="8"/>
  <c r="P352" i="8"/>
  <c r="O352" i="8"/>
  <c r="N350" i="8"/>
  <c r="M350" i="8"/>
  <c r="M348" i="8" s="1"/>
  <c r="L350" i="8"/>
  <c r="L348" i="8" s="1"/>
  <c r="P349" i="8"/>
  <c r="O349" i="8"/>
  <c r="O346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O336" i="8" s="1"/>
  <c r="P335" i="8"/>
  <c r="O335" i="8"/>
  <c r="N333" i="8"/>
  <c r="M333" i="8"/>
  <c r="M331" i="8" s="1"/>
  <c r="L333" i="8"/>
  <c r="L331" i="8" s="1"/>
  <c r="P332" i="8"/>
  <c r="O332" i="8"/>
  <c r="O329" i="8"/>
  <c r="N329" i="8"/>
  <c r="M329" i="8"/>
  <c r="P329" i="8" s="1"/>
  <c r="L329" i="8"/>
  <c r="I327" i="8"/>
  <c r="I325" i="8"/>
  <c r="K325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M318" i="8" s="1"/>
  <c r="P318" i="8" s="1"/>
  <c r="L320" i="8"/>
  <c r="O320" i="8" s="1"/>
  <c r="P319" i="8"/>
  <c r="O319" i="8"/>
  <c r="N316" i="8"/>
  <c r="M316" i="8"/>
  <c r="P316" i="8" s="1"/>
  <c r="L316" i="8"/>
  <c r="O316" i="8" s="1"/>
  <c r="J314" i="8"/>
  <c r="I312" i="8"/>
  <c r="K312" i="8" s="1"/>
  <c r="I311" i="8"/>
  <c r="K311" i="8" s="1"/>
  <c r="I310" i="8"/>
  <c r="K310" i="8" s="1"/>
  <c r="I309" i="8"/>
  <c r="I297" i="8" s="1"/>
  <c r="K297" i="8" s="1"/>
  <c r="N306" i="8"/>
  <c r="N304" i="8" s="1"/>
  <c r="M306" i="8"/>
  <c r="L306" i="8"/>
  <c r="O306" i="8" s="1"/>
  <c r="P305" i="8"/>
  <c r="O305" i="8"/>
  <c r="N303" i="8"/>
  <c r="N301" i="8" s="1"/>
  <c r="M303" i="8"/>
  <c r="P303" i="8" s="1"/>
  <c r="L303" i="8"/>
  <c r="P302" i="8"/>
  <c r="O302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P285" i="8" s="1"/>
  <c r="L285" i="8"/>
  <c r="L283" i="8" s="1"/>
  <c r="O283" i="8" s="1"/>
  <c r="P284" i="8"/>
  <c r="O284" i="8"/>
  <c r="N282" i="8"/>
  <c r="N280" i="8" s="1"/>
  <c r="M282" i="8"/>
  <c r="M280" i="8" s="1"/>
  <c r="P280" i="8" s="1"/>
  <c r="L282" i="8"/>
  <c r="O282" i="8" s="1"/>
  <c r="P281" i="8"/>
  <c r="O281" i="8"/>
  <c r="N278" i="8"/>
  <c r="M278" i="8"/>
  <c r="P278" i="8" s="1"/>
  <c r="L278" i="8"/>
  <c r="J276" i="8"/>
  <c r="I271" i="8"/>
  <c r="K271" i="8" s="1"/>
  <c r="N269" i="8"/>
  <c r="N267" i="8" s="1"/>
  <c r="M269" i="8"/>
  <c r="P269" i="8" s="1"/>
  <c r="L269" i="8"/>
  <c r="O269" i="8" s="1"/>
  <c r="P268" i="8"/>
  <c r="O268" i="8"/>
  <c r="N266" i="8"/>
  <c r="N264" i="8" s="1"/>
  <c r="M266" i="8"/>
  <c r="L266" i="8"/>
  <c r="P265" i="8"/>
  <c r="O265" i="8"/>
  <c r="P262" i="8"/>
  <c r="O262" i="8"/>
  <c r="N262" i="8"/>
  <c r="M262" i="8"/>
  <c r="L262" i="8"/>
  <c r="J260" i="8"/>
  <c r="K258" i="8"/>
  <c r="K257" i="8"/>
  <c r="I255" i="8"/>
  <c r="I248" i="8" s="1"/>
  <c r="K248" i="8" s="1"/>
  <c r="L253" i="8"/>
  <c r="L252" i="8"/>
  <c r="L251" i="8"/>
  <c r="L250" i="8"/>
  <c r="P249" i="8"/>
  <c r="N249" i="8"/>
  <c r="J248" i="8"/>
  <c r="K247" i="8"/>
  <c r="K246" i="8"/>
  <c r="I244" i="8"/>
  <c r="I237" i="8" s="1"/>
  <c r="L242" i="8"/>
  <c r="L241" i="8"/>
  <c r="L240" i="8"/>
  <c r="L239" i="8"/>
  <c r="P238" i="8"/>
  <c r="N238" i="8"/>
  <c r="N227" i="8" s="1"/>
  <c r="J237" i="8"/>
  <c r="J236" i="8"/>
  <c r="I236" i="8"/>
  <c r="K236" i="8" s="1"/>
  <c r="K235" i="8"/>
  <c r="J235" i="8"/>
  <c r="I235" i="8"/>
  <c r="J233" i="8"/>
  <c r="N231" i="8"/>
  <c r="N230" i="8"/>
  <c r="N229" i="8"/>
  <c r="N228" i="8"/>
  <c r="J226" i="8"/>
  <c r="I225" i="8"/>
  <c r="K225" i="8" s="1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M187" i="8" s="1"/>
  <c r="P187" i="8" s="1"/>
  <c r="L189" i="8"/>
  <c r="O189" i="8" s="1"/>
  <c r="P188" i="8"/>
  <c r="O188" i="8"/>
  <c r="N186" i="8"/>
  <c r="M186" i="8"/>
  <c r="L186" i="8"/>
  <c r="P185" i="8"/>
  <c r="O185" i="8"/>
  <c r="O182" i="8"/>
  <c r="N182" i="8"/>
  <c r="M182" i="8"/>
  <c r="L182" i="8"/>
  <c r="J180" i="8"/>
  <c r="J177" i="8"/>
  <c r="I176" i="8"/>
  <c r="K176" i="8" s="1"/>
  <c r="J174" i="8"/>
  <c r="N173" i="8"/>
  <c r="N171" i="8" s="1"/>
  <c r="M173" i="8"/>
  <c r="P173" i="8" s="1"/>
  <c r="L173" i="8"/>
  <c r="P172" i="8"/>
  <c r="O172" i="8"/>
  <c r="N170" i="8"/>
  <c r="N168" i="8" s="1"/>
  <c r="M170" i="8"/>
  <c r="L170" i="8"/>
  <c r="P169" i="8"/>
  <c r="O169" i="8"/>
  <c r="N166" i="8"/>
  <c r="M166" i="8"/>
  <c r="P166" i="8" s="1"/>
  <c r="L166" i="8"/>
  <c r="O166" i="8" s="1"/>
  <c r="J164" i="8"/>
  <c r="I159" i="8"/>
  <c r="I148" i="8" s="1"/>
  <c r="K148" i="8" s="1"/>
  <c r="N157" i="8"/>
  <c r="N155" i="8" s="1"/>
  <c r="M157" i="8"/>
  <c r="M155" i="8" s="1"/>
  <c r="P155" i="8" s="1"/>
  <c r="L157" i="8"/>
  <c r="O157" i="8" s="1"/>
  <c r="P156" i="8"/>
  <c r="O156" i="8"/>
  <c r="N154" i="8"/>
  <c r="M154" i="8"/>
  <c r="L154" i="8"/>
  <c r="L152" i="8" s="1"/>
  <c r="O152" i="8" s="1"/>
  <c r="P153" i="8"/>
  <c r="O153" i="8"/>
  <c r="P150" i="8"/>
  <c r="O150" i="8"/>
  <c r="N150" i="8"/>
  <c r="M150" i="8"/>
  <c r="L150" i="8"/>
  <c r="J148" i="8"/>
  <c r="I146" i="8"/>
  <c r="I130" i="8" s="1"/>
  <c r="K130" i="8" s="1"/>
  <c r="I145" i="8"/>
  <c r="I143" i="8" s="1"/>
  <c r="I144" i="8"/>
  <c r="N140" i="8"/>
  <c r="N138" i="8" s="1"/>
  <c r="M140" i="8"/>
  <c r="P140" i="8" s="1"/>
  <c r="L140" i="8"/>
  <c r="O140" i="8" s="1"/>
  <c r="P139" i="8"/>
  <c r="O139" i="8"/>
  <c r="N137" i="8"/>
  <c r="N135" i="8" s="1"/>
  <c r="M137" i="8"/>
  <c r="M135" i="8" s="1"/>
  <c r="P135" i="8" s="1"/>
  <c r="L137" i="8"/>
  <c r="P136" i="8"/>
  <c r="O136" i="8"/>
  <c r="P133" i="8"/>
  <c r="N133" i="8"/>
  <c r="M133" i="8"/>
  <c r="L133" i="8"/>
  <c r="O133" i="8" s="1"/>
  <c r="J130" i="8"/>
  <c r="N127" i="8"/>
  <c r="N125" i="8" s="1"/>
  <c r="M127" i="8"/>
  <c r="M125" i="8" s="1"/>
  <c r="P125" i="8" s="1"/>
  <c r="L127" i="8"/>
  <c r="O127" i="8" s="1"/>
  <c r="P126" i="8"/>
  <c r="O126" i="8"/>
  <c r="N124" i="8"/>
  <c r="M124" i="8"/>
  <c r="L124" i="8"/>
  <c r="P123" i="8"/>
  <c r="O123" i="8"/>
  <c r="P120" i="8"/>
  <c r="O120" i="8"/>
  <c r="N120" i="8"/>
  <c r="M120" i="8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J98" i="8"/>
  <c r="I98" i="8"/>
  <c r="K98" i="8" s="1"/>
  <c r="N96" i="8"/>
  <c r="N94" i="8" s="1"/>
  <c r="M96" i="8"/>
  <c r="P96" i="8" s="1"/>
  <c r="L96" i="8"/>
  <c r="L94" i="8" s="1"/>
  <c r="O94" i="8" s="1"/>
  <c r="P95" i="8"/>
  <c r="O95" i="8"/>
  <c r="N93" i="8"/>
  <c r="N91" i="8" s="1"/>
  <c r="M93" i="8"/>
  <c r="M91" i="8" s="1"/>
  <c r="L93" i="8"/>
  <c r="P92" i="8"/>
  <c r="O92" i="8"/>
  <c r="N89" i="8"/>
  <c r="M89" i="8"/>
  <c r="P89" i="8" s="1"/>
  <c r="L89" i="8"/>
  <c r="O89" i="8" s="1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J77" i="8"/>
  <c r="J76" i="8"/>
  <c r="N74" i="8"/>
  <c r="M74" i="8"/>
  <c r="M72" i="8" s="1"/>
  <c r="P72" i="8" s="1"/>
  <c r="L74" i="8"/>
  <c r="O74" i="8" s="1"/>
  <c r="P73" i="8"/>
  <c r="O73" i="8"/>
  <c r="N71" i="8"/>
  <c r="N69" i="8" s="1"/>
  <c r="M71" i="8"/>
  <c r="L71" i="8"/>
  <c r="P70" i="8"/>
  <c r="O70" i="8"/>
  <c r="N67" i="8"/>
  <c r="M67" i="8"/>
  <c r="P67" i="8" s="1"/>
  <c r="L67" i="8"/>
  <c r="O67" i="8" s="1"/>
  <c r="J65" i="8"/>
  <c r="J64" i="8"/>
  <c r="N61" i="8"/>
  <c r="N59" i="8" s="1"/>
  <c r="M61" i="8"/>
  <c r="L61" i="8"/>
  <c r="P60" i="8"/>
  <c r="O60" i="8"/>
  <c r="N58" i="8"/>
  <c r="N56" i="8" s="1"/>
  <c r="M58" i="8"/>
  <c r="L58" i="8"/>
  <c r="L56" i="8" s="1"/>
  <c r="P57" i="8"/>
  <c r="O57" i="8"/>
  <c r="P54" i="8"/>
  <c r="N54" i="8"/>
  <c r="M54" i="8"/>
  <c r="L54" i="8"/>
  <c r="O54" i="8" s="1"/>
  <c r="N49" i="8"/>
  <c r="N47" i="8" s="1"/>
  <c r="M49" i="8"/>
  <c r="P49" i="8" s="1"/>
  <c r="L49" i="8"/>
  <c r="O49" i="8" s="1"/>
  <c r="P48" i="8"/>
  <c r="O48" i="8"/>
  <c r="N46" i="8"/>
  <c r="M46" i="8"/>
  <c r="L46" i="8"/>
  <c r="L44" i="8" s="1"/>
  <c r="P45" i="8"/>
  <c r="O45" i="8"/>
  <c r="P42" i="8"/>
  <c r="O42" i="8"/>
  <c r="N42" i="8"/>
  <c r="M42" i="8"/>
  <c r="L42" i="8"/>
  <c r="P36" i="8"/>
  <c r="N36" i="8"/>
  <c r="M36" i="8"/>
  <c r="N35" i="8"/>
  <c r="N34" i="8" s="1"/>
  <c r="M35" i="8"/>
  <c r="P35" i="8" s="1"/>
  <c r="L35" i="8"/>
  <c r="O35" i="8" s="1"/>
  <c r="N32" i="8"/>
  <c r="N29" i="8" s="1"/>
  <c r="M32" i="8"/>
  <c r="P32" i="8" s="1"/>
  <c r="L32" i="8"/>
  <c r="O32" i="8" s="1"/>
  <c r="P25" i="8"/>
  <c r="O25" i="8"/>
  <c r="N25" i="8"/>
  <c r="M25" i="8"/>
  <c r="L25" i="8"/>
  <c r="P22" i="8"/>
  <c r="O22" i="8"/>
  <c r="N22" i="8"/>
  <c r="M22" i="8"/>
  <c r="L22" i="8"/>
  <c r="P19" i="8"/>
  <c r="O19" i="8"/>
  <c r="N19" i="8"/>
  <c r="M19" i="8"/>
  <c r="L19" i="8"/>
  <c r="O15" i="8"/>
  <c r="N15" i="8"/>
  <c r="M15" i="8"/>
  <c r="P15" i="8" s="1"/>
  <c r="L15" i="8"/>
  <c r="N12" i="8"/>
  <c r="M12" i="8"/>
  <c r="P12" i="8" s="1"/>
  <c r="L12" i="8"/>
  <c r="O12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O808" i="7"/>
  <c r="N808" i="7"/>
  <c r="M808" i="7"/>
  <c r="L808" i="7"/>
  <c r="O807" i="7"/>
  <c r="M807" i="7"/>
  <c r="L807" i="7"/>
  <c r="P806" i="7"/>
  <c r="N806" i="7"/>
  <c r="M806" i="7"/>
  <c r="L806" i="7"/>
  <c r="K804" i="7"/>
  <c r="J804" i="7"/>
  <c r="K802" i="7"/>
  <c r="J801" i="7"/>
  <c r="J800" i="7"/>
  <c r="J785" i="7" s="1"/>
  <c r="I800" i="7"/>
  <c r="K800" i="7" s="1"/>
  <c r="P798" i="7"/>
  <c r="O798" i="7"/>
  <c r="P797" i="7"/>
  <c r="O797" i="7"/>
  <c r="O796" i="7"/>
  <c r="N796" i="7"/>
  <c r="M796" i="7"/>
  <c r="P796" i="7" s="1"/>
  <c r="L796" i="7"/>
  <c r="P791" i="7"/>
  <c r="N791" i="7"/>
  <c r="L791" i="7"/>
  <c r="P790" i="7"/>
  <c r="O790" i="7"/>
  <c r="P789" i="7"/>
  <c r="M789" i="7"/>
  <c r="M788" i="7"/>
  <c r="P787" i="7"/>
  <c r="N787" i="7"/>
  <c r="M787" i="7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P774" i="7"/>
  <c r="O774" i="7"/>
  <c r="O773" i="7"/>
  <c r="N773" i="7"/>
  <c r="M773" i="7"/>
  <c r="P773" i="7" s="1"/>
  <c r="L773" i="7"/>
  <c r="P772" i="7"/>
  <c r="N772" i="7"/>
  <c r="N770" i="7" s="1"/>
  <c r="M772" i="7"/>
  <c r="L772" i="7"/>
  <c r="O772" i="7" s="1"/>
  <c r="P771" i="7"/>
  <c r="O771" i="7"/>
  <c r="N771" i="7"/>
  <c r="M771" i="7"/>
  <c r="L771" i="7"/>
  <c r="P770" i="7"/>
  <c r="M770" i="7"/>
  <c r="L770" i="7"/>
  <c r="O770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O756" i="7"/>
  <c r="N756" i="7"/>
  <c r="N754" i="7" s="1"/>
  <c r="M756" i="7"/>
  <c r="L756" i="7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P741" i="7"/>
  <c r="O741" i="7"/>
  <c r="O740" i="7"/>
  <c r="N740" i="7"/>
  <c r="M740" i="7"/>
  <c r="P740" i="7" s="1"/>
  <c r="L740" i="7"/>
  <c r="P739" i="7"/>
  <c r="N739" i="7"/>
  <c r="M739" i="7"/>
  <c r="L739" i="7"/>
  <c r="O739" i="7" s="1"/>
  <c r="P738" i="7"/>
  <c r="O738" i="7"/>
  <c r="N738" i="7"/>
  <c r="M738" i="7"/>
  <c r="L738" i="7"/>
  <c r="P737" i="7"/>
  <c r="N737" i="7"/>
  <c r="M737" i="7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N690" i="7"/>
  <c r="L690" i="7"/>
  <c r="M690" i="7" s="1"/>
  <c r="O686" i="7"/>
  <c r="N686" i="7"/>
  <c r="M686" i="7"/>
  <c r="L686" i="7"/>
  <c r="J679" i="7"/>
  <c r="J678" i="7" s="1"/>
  <c r="I678" i="7"/>
  <c r="K678" i="7" s="1"/>
  <c r="J675" i="7"/>
  <c r="J669" i="7" s="1"/>
  <c r="J654" i="7" s="1"/>
  <c r="I671" i="7"/>
  <c r="K671" i="7" s="1"/>
  <c r="I670" i="7"/>
  <c r="K670" i="7" s="1"/>
  <c r="I669" i="7"/>
  <c r="K673" i="7" s="1"/>
  <c r="P667" i="7"/>
  <c r="O667" i="7"/>
  <c r="P666" i="7"/>
  <c r="O666" i="7"/>
  <c r="O665" i="7"/>
  <c r="N665" i="7"/>
  <c r="M665" i="7"/>
  <c r="P665" i="7" s="1"/>
  <c r="L665" i="7"/>
  <c r="N660" i="7"/>
  <c r="L660" i="7"/>
  <c r="P659" i="7"/>
  <c r="O659" i="7"/>
  <c r="N658" i="7"/>
  <c r="N657" i="7"/>
  <c r="O656" i="7"/>
  <c r="N656" i="7"/>
  <c r="M656" i="7"/>
  <c r="L656" i="7"/>
  <c r="N655" i="7"/>
  <c r="K652" i="7"/>
  <c r="J652" i="7"/>
  <c r="J651" i="7"/>
  <c r="I651" i="7"/>
  <c r="K651" i="7" s="1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P639" i="7"/>
  <c r="N639" i="7"/>
  <c r="M639" i="7"/>
  <c r="P634" i="7"/>
  <c r="N634" i="7"/>
  <c r="L634" i="7"/>
  <c r="L632" i="7" s="1"/>
  <c r="O632" i="7" s="1"/>
  <c r="P633" i="7"/>
  <c r="O633" i="7"/>
  <c r="N632" i="7"/>
  <c r="M632" i="7"/>
  <c r="P632" i="7" s="1"/>
  <c r="N631" i="7"/>
  <c r="M631" i="7"/>
  <c r="P631" i="7" s="1"/>
  <c r="P630" i="7"/>
  <c r="O630" i="7"/>
  <c r="N630" i="7"/>
  <c r="M630" i="7"/>
  <c r="L630" i="7"/>
  <c r="P629" i="7"/>
  <c r="N629" i="7"/>
  <c r="M629" i="7"/>
  <c r="J628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594" i="7" s="1"/>
  <c r="J603" i="7"/>
  <c r="J596" i="7"/>
  <c r="J595" i="7"/>
  <c r="I594" i="7"/>
  <c r="K594" i="7" s="1"/>
  <c r="J593" i="7"/>
  <c r="I593" i="7"/>
  <c r="I592" i="7" s="1"/>
  <c r="J583" i="7"/>
  <c r="J582" i="7"/>
  <c r="J576" i="7" s="1"/>
  <c r="J559" i="7" s="1"/>
  <c r="J543" i="7" s="1"/>
  <c r="J577" i="7"/>
  <c r="I577" i="7"/>
  <c r="I576" i="7"/>
  <c r="J569" i="7"/>
  <c r="I569" i="7"/>
  <c r="J568" i="7"/>
  <c r="I568" i="7"/>
  <c r="K568" i="7" s="1"/>
  <c r="J561" i="7"/>
  <c r="I561" i="7"/>
  <c r="J560" i="7"/>
  <c r="I560" i="7"/>
  <c r="K560" i="7" s="1"/>
  <c r="P557" i="7"/>
  <c r="L557" i="7"/>
  <c r="P556" i="7"/>
  <c r="O556" i="7"/>
  <c r="N555" i="7"/>
  <c r="N545" i="7" s="1"/>
  <c r="M555" i="7"/>
  <c r="N549" i="7"/>
  <c r="L549" i="7"/>
  <c r="L547" i="7" s="1"/>
  <c r="P548" i="7"/>
  <c r="O548" i="7"/>
  <c r="N546" i="7"/>
  <c r="N544" i="7" s="1"/>
  <c r="O545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P535" i="7"/>
  <c r="L535" i="7"/>
  <c r="O535" i="7" s="1"/>
  <c r="P534" i="7"/>
  <c r="O534" i="7"/>
  <c r="P533" i="7"/>
  <c r="N533" i="7"/>
  <c r="M533" i="7"/>
  <c r="P528" i="7"/>
  <c r="N528" i="7"/>
  <c r="L528" i="7"/>
  <c r="O528" i="7" s="1"/>
  <c r="P527" i="7"/>
  <c r="O527" i="7"/>
  <c r="N526" i="7"/>
  <c r="M526" i="7"/>
  <c r="P526" i="7" s="1"/>
  <c r="P525" i="7"/>
  <c r="N525" i="7"/>
  <c r="M525" i="7"/>
  <c r="N524" i="7"/>
  <c r="M524" i="7"/>
  <c r="L524" i="7"/>
  <c r="O524" i="7" s="1"/>
  <c r="K517" i="7"/>
  <c r="J517" i="7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M505" i="7"/>
  <c r="P505" i="7" s="1"/>
  <c r="L505" i="7"/>
  <c r="O505" i="7" s="1"/>
  <c r="P504" i="7"/>
  <c r="O504" i="7"/>
  <c r="M504" i="7"/>
  <c r="L504" i="7"/>
  <c r="N503" i="7"/>
  <c r="M503" i="7"/>
  <c r="L503" i="7"/>
  <c r="O503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6" i="7"/>
  <c r="N472" i="7"/>
  <c r="L472" i="7"/>
  <c r="P471" i="7"/>
  <c r="O471" i="7"/>
  <c r="O468" i="7"/>
  <c r="N468" i="7"/>
  <c r="M468" i="7"/>
  <c r="L468" i="7"/>
  <c r="J466" i="7"/>
  <c r="I466" i="7"/>
  <c r="J465" i="7"/>
  <c r="I465" i="7"/>
  <c r="K465" i="7" s="1"/>
  <c r="I464" i="7"/>
  <c r="I463" i="7"/>
  <c r="I462" i="7"/>
  <c r="I460" i="7"/>
  <c r="K460" i="7" s="1"/>
  <c r="K458" i="7"/>
  <c r="P456" i="7"/>
  <c r="L456" i="7"/>
  <c r="O456" i="7" s="1"/>
  <c r="P455" i="7"/>
  <c r="O455" i="7"/>
  <c r="P454" i="7"/>
  <c r="N454" i="7"/>
  <c r="M454" i="7"/>
  <c r="N449" i="7"/>
  <c r="L449" i="7"/>
  <c r="O449" i="7" s="1"/>
  <c r="P448" i="7"/>
  <c r="O448" i="7"/>
  <c r="O445" i="7"/>
  <c r="N445" i="7"/>
  <c r="M445" i="7"/>
  <c r="L445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I433" i="7" s="1"/>
  <c r="I417" i="7" s="1"/>
  <c r="J434" i="7"/>
  <c r="P431" i="7"/>
  <c r="L431" i="7"/>
  <c r="L429" i="7" s="1"/>
  <c r="O429" i="7" s="1"/>
  <c r="P430" i="7"/>
  <c r="O430" i="7"/>
  <c r="P429" i="7"/>
  <c r="N429" i="7"/>
  <c r="M429" i="7"/>
  <c r="N428" i="7"/>
  <c r="N424" i="7"/>
  <c r="N422" i="7" s="1"/>
  <c r="L424" i="7"/>
  <c r="O424" i="7" s="1"/>
  <c r="P423" i="7"/>
  <c r="O423" i="7"/>
  <c r="N421" i="7"/>
  <c r="N419" i="7" s="1"/>
  <c r="P420" i="7"/>
  <c r="O420" i="7"/>
  <c r="N420" i="7"/>
  <c r="M420" i="7"/>
  <c r="L420" i="7"/>
  <c r="J418" i="7"/>
  <c r="K413" i="7"/>
  <c r="K412" i="7"/>
  <c r="N410" i="7"/>
  <c r="N408" i="7" s="1"/>
  <c r="M410" i="7"/>
  <c r="M408" i="7" s="1"/>
  <c r="P408" i="7" s="1"/>
  <c r="L410" i="7"/>
  <c r="L408" i="7" s="1"/>
  <c r="O408" i="7" s="1"/>
  <c r="P409" i="7"/>
  <c r="O409" i="7"/>
  <c r="N407" i="7"/>
  <c r="M407" i="7"/>
  <c r="L407" i="7"/>
  <c r="L405" i="7" s="1"/>
  <c r="O405" i="7" s="1"/>
  <c r="P406" i="7"/>
  <c r="O406" i="7"/>
  <c r="P403" i="7"/>
  <c r="O403" i="7"/>
  <c r="N403" i="7"/>
  <c r="M403" i="7"/>
  <c r="L403" i="7"/>
  <c r="J401" i="7"/>
  <c r="I401" i="7"/>
  <c r="K401" i="7" s="1"/>
  <c r="K400" i="7"/>
  <c r="K399" i="7"/>
  <c r="N397" i="7"/>
  <c r="M397" i="7"/>
  <c r="P397" i="7" s="1"/>
  <c r="L397" i="7"/>
  <c r="L395" i="7" s="1"/>
  <c r="O395" i="7" s="1"/>
  <c r="P396" i="7"/>
  <c r="O396" i="7"/>
  <c r="N394" i="7"/>
  <c r="N392" i="7" s="1"/>
  <c r="M394" i="7"/>
  <c r="P394" i="7" s="1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P352" i="7"/>
  <c r="O352" i="7"/>
  <c r="N350" i="7"/>
  <c r="N348" i="7" s="1"/>
  <c r="M350" i="7"/>
  <c r="M348" i="7" s="1"/>
  <c r="L350" i="7"/>
  <c r="L348" i="7" s="1"/>
  <c r="P349" i="7"/>
  <c r="O349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M336" i="7"/>
  <c r="M334" i="7" s="1"/>
  <c r="P334" i="7" s="1"/>
  <c r="L336" i="7"/>
  <c r="O336" i="7" s="1"/>
  <c r="P335" i="7"/>
  <c r="O335" i="7"/>
  <c r="N333" i="7"/>
  <c r="N331" i="7" s="1"/>
  <c r="M333" i="7"/>
  <c r="M331" i="7" s="1"/>
  <c r="L333" i="7"/>
  <c r="L331" i="7" s="1"/>
  <c r="P332" i="7"/>
  <c r="O332" i="7"/>
  <c r="O329" i="7"/>
  <c r="N329" i="7"/>
  <c r="M329" i="7"/>
  <c r="L329" i="7"/>
  <c r="I327" i="7"/>
  <c r="I325" i="7"/>
  <c r="N323" i="7"/>
  <c r="N321" i="7" s="1"/>
  <c r="M323" i="7"/>
  <c r="M321" i="7" s="1"/>
  <c r="P321" i="7" s="1"/>
  <c r="L323" i="7"/>
  <c r="O323" i="7" s="1"/>
  <c r="P322" i="7"/>
  <c r="O322" i="7"/>
  <c r="N320" i="7"/>
  <c r="M320" i="7"/>
  <c r="L320" i="7"/>
  <c r="P319" i="7"/>
  <c r="O319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L306" i="7"/>
  <c r="L304" i="7" s="1"/>
  <c r="O304" i="7" s="1"/>
  <c r="P305" i="7"/>
  <c r="O305" i="7"/>
  <c r="N303" i="7"/>
  <c r="N301" i="7" s="1"/>
  <c r="M303" i="7"/>
  <c r="L303" i="7"/>
  <c r="O303" i="7" s="1"/>
  <c r="P302" i="7"/>
  <c r="O302" i="7"/>
  <c r="P299" i="7"/>
  <c r="N299" i="7"/>
  <c r="M299" i="7"/>
  <c r="L299" i="7"/>
  <c r="O299" i="7" s="1"/>
  <c r="J297" i="7"/>
  <c r="I294" i="7"/>
  <c r="K294" i="7" s="1"/>
  <c r="I293" i="7"/>
  <c r="K293" i="7" s="1"/>
  <c r="I291" i="7"/>
  <c r="K291" i="7" s="1"/>
  <c r="I290" i="7"/>
  <c r="K290" i="7" s="1"/>
  <c r="I288" i="7"/>
  <c r="I287" i="7"/>
  <c r="I276" i="7" s="1"/>
  <c r="K276" i="7" s="1"/>
  <c r="N285" i="7"/>
  <c r="N283" i="7" s="1"/>
  <c r="M285" i="7"/>
  <c r="L285" i="7"/>
  <c r="O285" i="7" s="1"/>
  <c r="P284" i="7"/>
  <c r="O284" i="7"/>
  <c r="N282" i="7"/>
  <c r="N280" i="7" s="1"/>
  <c r="M282" i="7"/>
  <c r="P282" i="7" s="1"/>
  <c r="L282" i="7"/>
  <c r="L280" i="7" s="1"/>
  <c r="O280" i="7" s="1"/>
  <c r="P281" i="7"/>
  <c r="O281" i="7"/>
  <c r="P278" i="7"/>
  <c r="O278" i="7"/>
  <c r="N278" i="7"/>
  <c r="M278" i="7"/>
  <c r="L278" i="7"/>
  <c r="J276" i="7"/>
  <c r="I271" i="7"/>
  <c r="K271" i="7" s="1"/>
  <c r="N269" i="7"/>
  <c r="N267" i="7" s="1"/>
  <c r="M269" i="7"/>
  <c r="L269" i="7"/>
  <c r="L267" i="7" s="1"/>
  <c r="O267" i="7" s="1"/>
  <c r="P268" i="7"/>
  <c r="O268" i="7"/>
  <c r="N266" i="7"/>
  <c r="M266" i="7"/>
  <c r="L266" i="7"/>
  <c r="P265" i="7"/>
  <c r="O265" i="7"/>
  <c r="O262" i="7"/>
  <c r="N262" i="7"/>
  <c r="M262" i="7"/>
  <c r="L262" i="7"/>
  <c r="J260" i="7"/>
  <c r="K258" i="7"/>
  <c r="K257" i="7"/>
  <c r="I255" i="7"/>
  <c r="I248" i="7" s="1"/>
  <c r="K248" i="7" s="1"/>
  <c r="L253" i="7"/>
  <c r="L252" i="7"/>
  <c r="L251" i="7"/>
  <c r="L250" i="7"/>
  <c r="P249" i="7"/>
  <c r="N249" i="7"/>
  <c r="N227" i="7" s="1"/>
  <c r="J248" i="7"/>
  <c r="K247" i="7"/>
  <c r="K246" i="7"/>
  <c r="I244" i="7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J226" i="7"/>
  <c r="J180" i="7" s="1"/>
  <c r="I225" i="7"/>
  <c r="K225" i="7" s="1"/>
  <c r="I224" i="7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I190" i="7" s="1"/>
  <c r="K190" i="7" s="1"/>
  <c r="P191" i="7"/>
  <c r="L191" i="7"/>
  <c r="O191" i="7" s="1"/>
  <c r="J190" i="7"/>
  <c r="N189" i="7"/>
  <c r="N187" i="7" s="1"/>
  <c r="M189" i="7"/>
  <c r="L189" i="7"/>
  <c r="O189" i="7" s="1"/>
  <c r="P188" i="7"/>
  <c r="O188" i="7"/>
  <c r="N186" i="7"/>
  <c r="M186" i="7"/>
  <c r="L186" i="7"/>
  <c r="P185" i="7"/>
  <c r="O185" i="7"/>
  <c r="P182" i="7"/>
  <c r="O182" i="7"/>
  <c r="N182" i="7"/>
  <c r="M182" i="7"/>
  <c r="L182" i="7"/>
  <c r="J177" i="7"/>
  <c r="I176" i="7"/>
  <c r="J174" i="7"/>
  <c r="N173" i="7"/>
  <c r="N171" i="7" s="1"/>
  <c r="M173" i="7"/>
  <c r="P173" i="7" s="1"/>
  <c r="L173" i="7"/>
  <c r="O173" i="7" s="1"/>
  <c r="P172" i="7"/>
  <c r="O172" i="7"/>
  <c r="N170" i="7"/>
  <c r="M170" i="7"/>
  <c r="L170" i="7"/>
  <c r="P169" i="7"/>
  <c r="O169" i="7"/>
  <c r="P166" i="7"/>
  <c r="O166" i="7"/>
  <c r="N166" i="7"/>
  <c r="M166" i="7"/>
  <c r="L166" i="7"/>
  <c r="J164" i="7"/>
  <c r="I159" i="7"/>
  <c r="K159" i="7" s="1"/>
  <c r="N157" i="7"/>
  <c r="M157" i="7"/>
  <c r="P157" i="7" s="1"/>
  <c r="L157" i="7"/>
  <c r="L155" i="7" s="1"/>
  <c r="O155" i="7" s="1"/>
  <c r="P156" i="7"/>
  <c r="O156" i="7"/>
  <c r="N154" i="7"/>
  <c r="N152" i="7" s="1"/>
  <c r="M154" i="7"/>
  <c r="P154" i="7" s="1"/>
  <c r="L154" i="7"/>
  <c r="L152" i="7" s="1"/>
  <c r="O152" i="7" s="1"/>
  <c r="P153" i="7"/>
  <c r="O153" i="7"/>
  <c r="P150" i="7"/>
  <c r="N150" i="7"/>
  <c r="M150" i="7"/>
  <c r="L150" i="7"/>
  <c r="J148" i="7"/>
  <c r="I146" i="7"/>
  <c r="I130" i="7" s="1"/>
  <c r="K130" i="7" s="1"/>
  <c r="I145" i="7"/>
  <c r="K145" i="7" s="1"/>
  <c r="I144" i="7"/>
  <c r="K144" i="7" s="1"/>
  <c r="N140" i="7"/>
  <c r="N138" i="7" s="1"/>
  <c r="M140" i="7"/>
  <c r="M138" i="7" s="1"/>
  <c r="P138" i="7" s="1"/>
  <c r="L140" i="7"/>
  <c r="O140" i="7" s="1"/>
  <c r="P139" i="7"/>
  <c r="O139" i="7"/>
  <c r="N137" i="7"/>
  <c r="M137" i="7"/>
  <c r="M135" i="7" s="1"/>
  <c r="P135" i="7" s="1"/>
  <c r="L137" i="7"/>
  <c r="O137" i="7" s="1"/>
  <c r="P136" i="7"/>
  <c r="O136" i="7"/>
  <c r="N133" i="7"/>
  <c r="M133" i="7"/>
  <c r="P133" i="7" s="1"/>
  <c r="L133" i="7"/>
  <c r="O133" i="7" s="1"/>
  <c r="J130" i="7"/>
  <c r="N127" i="7"/>
  <c r="N125" i="7" s="1"/>
  <c r="M127" i="7"/>
  <c r="P127" i="7" s="1"/>
  <c r="L127" i="7"/>
  <c r="L125" i="7" s="1"/>
  <c r="O125" i="7" s="1"/>
  <c r="P126" i="7"/>
  <c r="O126" i="7"/>
  <c r="N124" i="7"/>
  <c r="N122" i="7" s="1"/>
  <c r="M124" i="7"/>
  <c r="L124" i="7"/>
  <c r="P123" i="7"/>
  <c r="O123" i="7"/>
  <c r="P120" i="7"/>
  <c r="N120" i="7"/>
  <c r="M120" i="7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J86" i="7" s="1"/>
  <c r="I98" i="7"/>
  <c r="I86" i="7" s="1"/>
  <c r="N96" i="7"/>
  <c r="N94" i="7" s="1"/>
  <c r="M96" i="7"/>
  <c r="L96" i="7"/>
  <c r="P95" i="7"/>
  <c r="O95" i="7"/>
  <c r="N93" i="7"/>
  <c r="M93" i="7"/>
  <c r="L93" i="7"/>
  <c r="P92" i="7"/>
  <c r="O92" i="7"/>
  <c r="O89" i="7"/>
  <c r="N89" i="7"/>
  <c r="M89" i="7"/>
  <c r="P89" i="7" s="1"/>
  <c r="L89" i="7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K79" i="7" s="1"/>
  <c r="I78" i="7"/>
  <c r="K78" i="7" s="1"/>
  <c r="J77" i="7"/>
  <c r="J76" i="7"/>
  <c r="N74" i="7"/>
  <c r="N72" i="7" s="1"/>
  <c r="M74" i="7"/>
  <c r="P74" i="7" s="1"/>
  <c r="L74" i="7"/>
  <c r="P73" i="7"/>
  <c r="O73" i="7"/>
  <c r="N71" i="7"/>
  <c r="N69" i="7" s="1"/>
  <c r="M71" i="7"/>
  <c r="L71" i="7"/>
  <c r="O71" i="7" s="1"/>
  <c r="P70" i="7"/>
  <c r="O70" i="7"/>
  <c r="N67" i="7"/>
  <c r="M67" i="7"/>
  <c r="P67" i="7" s="1"/>
  <c r="L67" i="7"/>
  <c r="J65" i="7"/>
  <c r="J64" i="7"/>
  <c r="N61" i="7"/>
  <c r="N59" i="7" s="1"/>
  <c r="M61" i="7"/>
  <c r="L61" i="7"/>
  <c r="O61" i="7" s="1"/>
  <c r="P60" i="7"/>
  <c r="O60" i="7"/>
  <c r="N58" i="7"/>
  <c r="N56" i="7" s="1"/>
  <c r="M58" i="7"/>
  <c r="M56" i="7" s="1"/>
  <c r="L58" i="7"/>
  <c r="P57" i="7"/>
  <c r="O57" i="7"/>
  <c r="P54" i="7"/>
  <c r="O54" i="7"/>
  <c r="N54" i="7"/>
  <c r="M54" i="7"/>
  <c r="L54" i="7"/>
  <c r="N49" i="7"/>
  <c r="N47" i="7" s="1"/>
  <c r="M49" i="7"/>
  <c r="M47" i="7" s="1"/>
  <c r="P47" i="7" s="1"/>
  <c r="L49" i="7"/>
  <c r="P48" i="7"/>
  <c r="O48" i="7"/>
  <c r="N46" i="7"/>
  <c r="N44" i="7" s="1"/>
  <c r="M46" i="7"/>
  <c r="M44" i="7" s="1"/>
  <c r="L46" i="7"/>
  <c r="L44" i="7" s="1"/>
  <c r="P45" i="7"/>
  <c r="O45" i="7"/>
  <c r="P42" i="7"/>
  <c r="O42" i="7"/>
  <c r="N42" i="7"/>
  <c r="M42" i="7"/>
  <c r="L42" i="7"/>
  <c r="P36" i="7"/>
  <c r="N36" i="7"/>
  <c r="M36" i="7"/>
  <c r="P35" i="7"/>
  <c r="N35" i="7"/>
  <c r="M35" i="7"/>
  <c r="L35" i="7"/>
  <c r="N34" i="7"/>
  <c r="M34" i="7"/>
  <c r="P34" i="7" s="1"/>
  <c r="O32" i="7"/>
  <c r="N32" i="7"/>
  <c r="M32" i="7"/>
  <c r="M29" i="7" s="1"/>
  <c r="L32" i="7"/>
  <c r="L29" i="7" s="1"/>
  <c r="N29" i="7"/>
  <c r="N25" i="7"/>
  <c r="N15" i="7" s="1"/>
  <c r="M25" i="7"/>
  <c r="M15" i="7" s="1"/>
  <c r="L25" i="7"/>
  <c r="O25" i="7" s="1"/>
  <c r="O22" i="7"/>
  <c r="N22" i="7"/>
  <c r="M22" i="7"/>
  <c r="L22" i="7"/>
  <c r="L19" i="7"/>
  <c r="N12" i="7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P809" i="6"/>
  <c r="O809" i="6"/>
  <c r="P808" i="6"/>
  <c r="O808" i="6"/>
  <c r="M808" i="6"/>
  <c r="L808" i="6"/>
  <c r="O807" i="6"/>
  <c r="M807" i="6"/>
  <c r="P807" i="6" s="1"/>
  <c r="L807" i="6"/>
  <c r="N806" i="6"/>
  <c r="M806" i="6"/>
  <c r="L806" i="6"/>
  <c r="K804" i="6"/>
  <c r="J804" i="6"/>
  <c r="K802" i="6"/>
  <c r="J801" i="6"/>
  <c r="J800" i="6"/>
  <c r="J785" i="6" s="1"/>
  <c r="I800" i="6"/>
  <c r="K800" i="6" s="1"/>
  <c r="P798" i="6"/>
  <c r="O798" i="6"/>
  <c r="P797" i="6"/>
  <c r="O797" i="6"/>
  <c r="O796" i="6"/>
  <c r="N796" i="6"/>
  <c r="M796" i="6"/>
  <c r="P796" i="6" s="1"/>
  <c r="L796" i="6"/>
  <c r="P791" i="6"/>
  <c r="N791" i="6"/>
  <c r="L791" i="6"/>
  <c r="L789" i="6" s="1"/>
  <c r="O789" i="6" s="1"/>
  <c r="P790" i="6"/>
  <c r="O790" i="6"/>
  <c r="M789" i="6"/>
  <c r="P789" i="6" s="1"/>
  <c r="M788" i="6"/>
  <c r="P788" i="6" s="1"/>
  <c r="P787" i="6"/>
  <c r="N787" i="6"/>
  <c r="M787" i="6"/>
  <c r="L787" i="6"/>
  <c r="O787" i="6" s="1"/>
  <c r="P786" i="6"/>
  <c r="M786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O773" i="6"/>
  <c r="N773" i="6"/>
  <c r="M773" i="6"/>
  <c r="P773" i="6" s="1"/>
  <c r="L773" i="6"/>
  <c r="P772" i="6"/>
  <c r="N772" i="6"/>
  <c r="M772" i="6"/>
  <c r="L772" i="6"/>
  <c r="O772" i="6" s="1"/>
  <c r="P771" i="6"/>
  <c r="N771" i="6"/>
  <c r="M771" i="6"/>
  <c r="L771" i="6"/>
  <c r="P770" i="6"/>
  <c r="N770" i="6"/>
  <c r="M770" i="6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N756" i="6" s="1"/>
  <c r="N754" i="6" s="1"/>
  <c r="P758" i="6"/>
  <c r="O758" i="6"/>
  <c r="O757" i="6"/>
  <c r="N757" i="6"/>
  <c r="M757" i="6"/>
  <c r="P757" i="6" s="1"/>
  <c r="L757" i="6"/>
  <c r="P756" i="6"/>
  <c r="O756" i="6"/>
  <c r="M756" i="6"/>
  <c r="L756" i="6"/>
  <c r="P755" i="6"/>
  <c r="O755" i="6"/>
  <c r="N755" i="6"/>
  <c r="M755" i="6"/>
  <c r="L755" i="6"/>
  <c r="M754" i="6"/>
  <c r="P754" i="6" s="1"/>
  <c r="L754" i="6"/>
  <c r="O754" i="6" s="1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P741" i="6"/>
  <c r="O741" i="6"/>
  <c r="P740" i="6"/>
  <c r="O740" i="6"/>
  <c r="N740" i="6"/>
  <c r="M740" i="6"/>
  <c r="L740" i="6"/>
  <c r="P739" i="6"/>
  <c r="N739" i="6"/>
  <c r="M739" i="6"/>
  <c r="L739" i="6"/>
  <c r="O739" i="6" s="1"/>
  <c r="P738" i="6"/>
  <c r="N738" i="6"/>
  <c r="M738" i="6"/>
  <c r="L738" i="6"/>
  <c r="P737" i="6"/>
  <c r="N737" i="6"/>
  <c r="M737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O695" i="6"/>
  <c r="N695" i="6"/>
  <c r="M695" i="6"/>
  <c r="P695" i="6" s="1"/>
  <c r="L695" i="6"/>
  <c r="N694" i="6"/>
  <c r="N690" i="6" s="1"/>
  <c r="L690" i="6"/>
  <c r="N688" i="6"/>
  <c r="N687" i="6"/>
  <c r="P686" i="6"/>
  <c r="O686" i="6"/>
  <c r="N686" i="6"/>
  <c r="M686" i="6"/>
  <c r="L686" i="6"/>
  <c r="J679" i="6"/>
  <c r="J678" i="6"/>
  <c r="I678" i="6"/>
  <c r="K678" i="6" s="1"/>
  <c r="J675" i="6"/>
  <c r="I671" i="6"/>
  <c r="K671" i="6" s="1"/>
  <c r="I670" i="6"/>
  <c r="K670" i="6" s="1"/>
  <c r="J669" i="6"/>
  <c r="I669" i="6"/>
  <c r="K673" i="6" s="1"/>
  <c r="P667" i="6"/>
  <c r="O667" i="6"/>
  <c r="P666" i="6"/>
  <c r="O666" i="6"/>
  <c r="P665" i="6"/>
  <c r="N665" i="6"/>
  <c r="M665" i="6"/>
  <c r="L665" i="6"/>
  <c r="O665" i="6" s="1"/>
  <c r="N664" i="6"/>
  <c r="N660" i="6"/>
  <c r="L660" i="6"/>
  <c r="O660" i="6" s="1"/>
  <c r="P659" i="6"/>
  <c r="O659" i="6"/>
  <c r="P656" i="6"/>
  <c r="O656" i="6"/>
  <c r="N656" i="6"/>
  <c r="M656" i="6"/>
  <c r="L656" i="6"/>
  <c r="J654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8" i="6"/>
  <c r="N634" i="6"/>
  <c r="L634" i="6"/>
  <c r="P633" i="6"/>
  <c r="O633" i="6"/>
  <c r="O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I594" i="6"/>
  <c r="J593" i="6"/>
  <c r="I593" i="6"/>
  <c r="I592" i="6" s="1"/>
  <c r="J583" i="6"/>
  <c r="J582" i="6"/>
  <c r="J577" i="6"/>
  <c r="I577" i="6"/>
  <c r="J576" i="6"/>
  <c r="I576" i="6"/>
  <c r="K576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J559" i="6"/>
  <c r="J543" i="6" s="1"/>
  <c r="P557" i="6"/>
  <c r="L557" i="6"/>
  <c r="L555" i="6" s="1"/>
  <c r="O555" i="6" s="1"/>
  <c r="P556" i="6"/>
  <c r="O556" i="6"/>
  <c r="N555" i="6"/>
  <c r="M555" i="6"/>
  <c r="P555" i="6" s="1"/>
  <c r="N553" i="6"/>
  <c r="N552" i="6"/>
  <c r="N549" i="6"/>
  <c r="L549" i="6"/>
  <c r="L547" i="6" s="1"/>
  <c r="P548" i="6"/>
  <c r="O548" i="6"/>
  <c r="O545" i="6"/>
  <c r="N545" i="6"/>
  <c r="M545" i="6"/>
  <c r="P545" i="6" s="1"/>
  <c r="L545" i="6"/>
  <c r="I542" i="6"/>
  <c r="K542" i="6" s="1"/>
  <c r="I541" i="6"/>
  <c r="K541" i="6" s="1"/>
  <c r="I540" i="6"/>
  <c r="K540" i="6" s="1"/>
  <c r="I539" i="6"/>
  <c r="K539" i="6" s="1"/>
  <c r="I538" i="6"/>
  <c r="I537" i="6"/>
  <c r="I522" i="6" s="1"/>
  <c r="K522" i="6" s="1"/>
  <c r="P535" i="6"/>
  <c r="L535" i="6"/>
  <c r="O535" i="6" s="1"/>
  <c r="P534" i="6"/>
  <c r="O534" i="6"/>
  <c r="P533" i="6"/>
  <c r="N533" i="6"/>
  <c r="M533" i="6"/>
  <c r="P528" i="6"/>
  <c r="N528" i="6"/>
  <c r="N526" i="6" s="1"/>
  <c r="L528" i="6"/>
  <c r="L526" i="6" s="1"/>
  <c r="O526" i="6" s="1"/>
  <c r="P527" i="6"/>
  <c r="O527" i="6"/>
  <c r="P526" i="6"/>
  <c r="M526" i="6"/>
  <c r="P525" i="6"/>
  <c r="N525" i="6"/>
  <c r="M525" i="6"/>
  <c r="O524" i="6"/>
  <c r="N524" i="6"/>
  <c r="N523" i="6" s="1"/>
  <c r="M524" i="6"/>
  <c r="L524" i="6"/>
  <c r="K517" i="6"/>
  <c r="J517" i="6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N505" i="6" s="1"/>
  <c r="P506" i="6"/>
  <c r="O506" i="6"/>
  <c r="P505" i="6"/>
  <c r="M505" i="6"/>
  <c r="L505" i="6"/>
  <c r="O505" i="6" s="1"/>
  <c r="P504" i="6"/>
  <c r="N504" i="6"/>
  <c r="M504" i="6"/>
  <c r="L504" i="6"/>
  <c r="O504" i="6" s="1"/>
  <c r="O503" i="6"/>
  <c r="N503" i="6"/>
  <c r="M503" i="6"/>
  <c r="L503" i="6"/>
  <c r="O502" i="6"/>
  <c r="L502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6" i="6"/>
  <c r="N474" i="6"/>
  <c r="N473" i="6"/>
  <c r="N472" i="6"/>
  <c r="N469" i="6" s="1"/>
  <c r="N467" i="6" s="1"/>
  <c r="L472" i="6"/>
  <c r="O472" i="6" s="1"/>
  <c r="P471" i="6"/>
  <c r="O471" i="6"/>
  <c r="N470" i="6"/>
  <c r="P468" i="6"/>
  <c r="O468" i="6"/>
  <c r="N468" i="6"/>
  <c r="M468" i="6"/>
  <c r="L468" i="6"/>
  <c r="J466" i="6"/>
  <c r="I466" i="6"/>
  <c r="K466" i="6" s="1"/>
  <c r="J465" i="6"/>
  <c r="I465" i="6"/>
  <c r="K465" i="6" s="1"/>
  <c r="I464" i="6"/>
  <c r="I463" i="6"/>
  <c r="I462" i="6"/>
  <c r="I460" i="6"/>
  <c r="I442" i="6" s="1"/>
  <c r="K442" i="6" s="1"/>
  <c r="K458" i="6"/>
  <c r="P456" i="6"/>
  <c r="L456" i="6"/>
  <c r="O456" i="6" s="1"/>
  <c r="P455" i="6"/>
  <c r="O455" i="6"/>
  <c r="P454" i="6"/>
  <c r="N454" i="6"/>
  <c r="M454" i="6"/>
  <c r="P449" i="6"/>
  <c r="N449" i="6"/>
  <c r="N446" i="6" s="1"/>
  <c r="L449" i="6"/>
  <c r="O449" i="6" s="1"/>
  <c r="P448" i="6"/>
  <c r="O448" i="6"/>
  <c r="P447" i="6"/>
  <c r="N447" i="6"/>
  <c r="M447" i="6"/>
  <c r="P446" i="6"/>
  <c r="M446" i="6"/>
  <c r="P445" i="6"/>
  <c r="N445" i="6"/>
  <c r="N444" i="6" s="1"/>
  <c r="M445" i="6"/>
  <c r="L445" i="6"/>
  <c r="O445" i="6" s="1"/>
  <c r="M444" i="6"/>
  <c r="P444" i="6" s="1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K435" i="6" s="1"/>
  <c r="J434" i="6"/>
  <c r="P431" i="6"/>
  <c r="L431" i="6"/>
  <c r="P430" i="6"/>
  <c r="O430" i="6"/>
  <c r="N429" i="6"/>
  <c r="M429" i="6"/>
  <c r="P429" i="6" s="1"/>
  <c r="N428" i="6"/>
  <c r="N425" i="6"/>
  <c r="N424" i="6"/>
  <c r="N421" i="6" s="1"/>
  <c r="N419" i="6" s="1"/>
  <c r="L424" i="6"/>
  <c r="P423" i="6"/>
  <c r="O423" i="6"/>
  <c r="N422" i="6"/>
  <c r="O420" i="6"/>
  <c r="N420" i="6"/>
  <c r="M420" i="6"/>
  <c r="P420" i="6" s="1"/>
  <c r="L420" i="6"/>
  <c r="J418" i="6"/>
  <c r="K413" i="6"/>
  <c r="K412" i="6"/>
  <c r="N410" i="6"/>
  <c r="N408" i="6" s="1"/>
  <c r="M410" i="6"/>
  <c r="L410" i="6"/>
  <c r="L408" i="6" s="1"/>
  <c r="O408" i="6" s="1"/>
  <c r="P409" i="6"/>
  <c r="O409" i="6"/>
  <c r="N407" i="6"/>
  <c r="N405" i="6" s="1"/>
  <c r="M407" i="6"/>
  <c r="M405" i="6" s="1"/>
  <c r="P405" i="6" s="1"/>
  <c r="L407" i="6"/>
  <c r="P406" i="6"/>
  <c r="O406" i="6"/>
  <c r="P403" i="6"/>
  <c r="N403" i="6"/>
  <c r="M403" i="6"/>
  <c r="L403" i="6"/>
  <c r="J401" i="6"/>
  <c r="I401" i="6"/>
  <c r="K401" i="6" s="1"/>
  <c r="K400" i="6"/>
  <c r="K399" i="6"/>
  <c r="N397" i="6"/>
  <c r="N395" i="6" s="1"/>
  <c r="M397" i="6"/>
  <c r="L397" i="6"/>
  <c r="L395" i="6" s="1"/>
  <c r="O395" i="6" s="1"/>
  <c r="P396" i="6"/>
  <c r="O396" i="6"/>
  <c r="N394" i="6"/>
  <c r="M394" i="6"/>
  <c r="M392" i="6" s="1"/>
  <c r="P392" i="6" s="1"/>
  <c r="L394" i="6"/>
  <c r="P393" i="6"/>
  <c r="O393" i="6"/>
  <c r="O390" i="6"/>
  <c r="N390" i="6"/>
  <c r="M390" i="6"/>
  <c r="L390" i="6"/>
  <c r="J388" i="6"/>
  <c r="I388" i="6"/>
  <c r="K388" i="6" s="1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L351" i="6" s="1"/>
  <c r="P352" i="6"/>
  <c r="O352" i="6"/>
  <c r="N350" i="6"/>
  <c r="N348" i="6" s="1"/>
  <c r="M350" i="6"/>
  <c r="L350" i="6"/>
  <c r="L348" i="6" s="1"/>
  <c r="P349" i="6"/>
  <c r="O349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M334" i="6" s="1"/>
  <c r="P334" i="6" s="1"/>
  <c r="L336" i="6"/>
  <c r="O336" i="6" s="1"/>
  <c r="P335" i="6"/>
  <c r="O335" i="6"/>
  <c r="N333" i="6"/>
  <c r="N331" i="6" s="1"/>
  <c r="M333" i="6"/>
  <c r="L333" i="6"/>
  <c r="L331" i="6" s="1"/>
  <c r="P332" i="6"/>
  <c r="O332" i="6"/>
  <c r="O329" i="6"/>
  <c r="N329" i="6"/>
  <c r="M329" i="6"/>
  <c r="L329" i="6"/>
  <c r="I327" i="6"/>
  <c r="I325" i="6"/>
  <c r="I314" i="6" s="1"/>
  <c r="K314" i="6" s="1"/>
  <c r="N323" i="6"/>
  <c r="N321" i="6" s="1"/>
  <c r="M323" i="6"/>
  <c r="L323" i="6"/>
  <c r="L321" i="6" s="1"/>
  <c r="O321" i="6" s="1"/>
  <c r="P322" i="6"/>
  <c r="O322" i="6"/>
  <c r="N320" i="6"/>
  <c r="M320" i="6"/>
  <c r="M318" i="6" s="1"/>
  <c r="P318" i="6" s="1"/>
  <c r="L320" i="6"/>
  <c r="O320" i="6" s="1"/>
  <c r="P319" i="6"/>
  <c r="O319" i="6"/>
  <c r="N316" i="6"/>
  <c r="M316" i="6"/>
  <c r="P316" i="6" s="1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L306" i="6"/>
  <c r="L304" i="6" s="1"/>
  <c r="O304" i="6" s="1"/>
  <c r="P305" i="6"/>
  <c r="O305" i="6"/>
  <c r="N303" i="6"/>
  <c r="N301" i="6" s="1"/>
  <c r="M303" i="6"/>
  <c r="P303" i="6" s="1"/>
  <c r="L303" i="6"/>
  <c r="P302" i="6"/>
  <c r="O302" i="6"/>
  <c r="P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N285" i="6"/>
  <c r="N283" i="6" s="1"/>
  <c r="M285" i="6"/>
  <c r="M283" i="6" s="1"/>
  <c r="P283" i="6" s="1"/>
  <c r="L285" i="6"/>
  <c r="L283" i="6" s="1"/>
  <c r="O283" i="6" s="1"/>
  <c r="P284" i="6"/>
  <c r="O284" i="6"/>
  <c r="N282" i="6"/>
  <c r="N280" i="6" s="1"/>
  <c r="M282" i="6"/>
  <c r="P282" i="6" s="1"/>
  <c r="L282" i="6"/>
  <c r="P281" i="6"/>
  <c r="O281" i="6"/>
  <c r="P278" i="6"/>
  <c r="N278" i="6"/>
  <c r="M278" i="6"/>
  <c r="L278" i="6"/>
  <c r="J276" i="6"/>
  <c r="I271" i="6"/>
  <c r="I260" i="6" s="1"/>
  <c r="K260" i="6" s="1"/>
  <c r="N269" i="6"/>
  <c r="N267" i="6" s="1"/>
  <c r="M269" i="6"/>
  <c r="P269" i="6" s="1"/>
  <c r="L269" i="6"/>
  <c r="L267" i="6" s="1"/>
  <c r="O267" i="6" s="1"/>
  <c r="P268" i="6"/>
  <c r="O268" i="6"/>
  <c r="N266" i="6"/>
  <c r="M266" i="6"/>
  <c r="L266" i="6"/>
  <c r="P265" i="6"/>
  <c r="O265" i="6"/>
  <c r="O262" i="6"/>
  <c r="N262" i="6"/>
  <c r="M262" i="6"/>
  <c r="P262" i="6" s="1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I237" i="6" s="1"/>
  <c r="L242" i="6"/>
  <c r="L241" i="6"/>
  <c r="L240" i="6"/>
  <c r="L239" i="6"/>
  <c r="P238" i="6"/>
  <c r="N238" i="6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N227" i="6"/>
  <c r="I225" i="6"/>
  <c r="I224" i="6"/>
  <c r="I216" i="6" s="1"/>
  <c r="K216" i="6" s="1"/>
  <c r="I223" i="6"/>
  <c r="K223" i="6" s="1"/>
  <c r="L220" i="6"/>
  <c r="L219" i="6"/>
  <c r="L218" i="6"/>
  <c r="P217" i="6"/>
  <c r="N217" i="6"/>
  <c r="J216" i="6"/>
  <c r="I215" i="6"/>
  <c r="I214" i="6"/>
  <c r="K214" i="6" s="1"/>
  <c r="L212" i="6"/>
  <c r="L211" i="6"/>
  <c r="L210" i="6"/>
  <c r="P209" i="6"/>
  <c r="N209" i="6"/>
  <c r="J208" i="6"/>
  <c r="I204" i="6"/>
  <c r="K204" i="6" s="1"/>
  <c r="L202" i="6"/>
  <c r="L201" i="6"/>
  <c r="L200" i="6"/>
  <c r="L199" i="6"/>
  <c r="P198" i="6"/>
  <c r="N198" i="6"/>
  <c r="J197" i="6"/>
  <c r="J194" i="6"/>
  <c r="I193" i="6"/>
  <c r="I190" i="6" s="1"/>
  <c r="K190" i="6" s="1"/>
  <c r="P191" i="6"/>
  <c r="N191" i="6"/>
  <c r="L191" i="6"/>
  <c r="J190" i="6"/>
  <c r="N189" i="6"/>
  <c r="N187" i="6" s="1"/>
  <c r="M189" i="6"/>
  <c r="M187" i="6" s="1"/>
  <c r="P187" i="6" s="1"/>
  <c r="L189" i="6"/>
  <c r="P188" i="6"/>
  <c r="O188" i="6"/>
  <c r="N186" i="6"/>
  <c r="M186" i="6"/>
  <c r="L186" i="6"/>
  <c r="L184" i="6" s="1"/>
  <c r="P185" i="6"/>
  <c r="O185" i="6"/>
  <c r="P182" i="6"/>
  <c r="O182" i="6"/>
  <c r="N182" i="6"/>
  <c r="M182" i="6"/>
  <c r="L182" i="6"/>
  <c r="J177" i="6"/>
  <c r="I176" i="6"/>
  <c r="K176" i="6" s="1"/>
  <c r="J174" i="6"/>
  <c r="J164" i="6" s="1"/>
  <c r="N173" i="6"/>
  <c r="N171" i="6" s="1"/>
  <c r="M173" i="6"/>
  <c r="M171" i="6" s="1"/>
  <c r="P171" i="6" s="1"/>
  <c r="L173" i="6"/>
  <c r="P172" i="6"/>
  <c r="O172" i="6"/>
  <c r="N170" i="6"/>
  <c r="M170" i="6"/>
  <c r="L170" i="6"/>
  <c r="L168" i="6" s="1"/>
  <c r="P169" i="6"/>
  <c r="O169" i="6"/>
  <c r="P166" i="6"/>
  <c r="O166" i="6"/>
  <c r="N166" i="6"/>
  <c r="M166" i="6"/>
  <c r="L166" i="6"/>
  <c r="I159" i="6"/>
  <c r="N157" i="6"/>
  <c r="N155" i="6" s="1"/>
  <c r="M157" i="6"/>
  <c r="P157" i="6" s="1"/>
  <c r="L157" i="6"/>
  <c r="L155" i="6" s="1"/>
  <c r="O155" i="6" s="1"/>
  <c r="P156" i="6"/>
  <c r="O156" i="6"/>
  <c r="N154" i="6"/>
  <c r="N152" i="6" s="1"/>
  <c r="M154" i="6"/>
  <c r="P154" i="6" s="1"/>
  <c r="L154" i="6"/>
  <c r="P153" i="6"/>
  <c r="O153" i="6"/>
  <c r="N150" i="6"/>
  <c r="M150" i="6"/>
  <c r="L150" i="6"/>
  <c r="J148" i="6"/>
  <c r="I146" i="6"/>
  <c r="I130" i="6" s="1"/>
  <c r="K130" i="6" s="1"/>
  <c r="I145" i="6"/>
  <c r="I144" i="6"/>
  <c r="K144" i="6" s="1"/>
  <c r="N140" i="6"/>
  <c r="N138" i="6" s="1"/>
  <c r="M140" i="6"/>
  <c r="L140" i="6"/>
  <c r="O140" i="6" s="1"/>
  <c r="P139" i="6"/>
  <c r="O139" i="6"/>
  <c r="N137" i="6"/>
  <c r="M137" i="6"/>
  <c r="L137" i="6"/>
  <c r="P136" i="6"/>
  <c r="O136" i="6"/>
  <c r="P133" i="6"/>
  <c r="O133" i="6"/>
  <c r="N133" i="6"/>
  <c r="M133" i="6"/>
  <c r="L133" i="6"/>
  <c r="J130" i="6"/>
  <c r="N127" i="6"/>
  <c r="N125" i="6" s="1"/>
  <c r="M127" i="6"/>
  <c r="P127" i="6" s="1"/>
  <c r="L127" i="6"/>
  <c r="O127" i="6" s="1"/>
  <c r="P126" i="6"/>
  <c r="O126" i="6"/>
  <c r="N124" i="6"/>
  <c r="N122" i="6" s="1"/>
  <c r="M124" i="6"/>
  <c r="M122" i="6" s="1"/>
  <c r="P122" i="6" s="1"/>
  <c r="L124" i="6"/>
  <c r="P123" i="6"/>
  <c r="O123" i="6"/>
  <c r="O120" i="6"/>
  <c r="N120" i="6"/>
  <c r="M120" i="6"/>
  <c r="L120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K87" i="6" s="1"/>
  <c r="J98" i="6"/>
  <c r="J86" i="6" s="1"/>
  <c r="I98" i="6"/>
  <c r="I86" i="6" s="1"/>
  <c r="K86" i="6" s="1"/>
  <c r="N96" i="6"/>
  <c r="N94" i="6" s="1"/>
  <c r="M96" i="6"/>
  <c r="P96" i="6" s="1"/>
  <c r="L96" i="6"/>
  <c r="P95" i="6"/>
  <c r="O95" i="6"/>
  <c r="N93" i="6"/>
  <c r="N91" i="6" s="1"/>
  <c r="M93" i="6"/>
  <c r="L93" i="6"/>
  <c r="P92" i="6"/>
  <c r="O92" i="6"/>
  <c r="O89" i="6"/>
  <c r="N89" i="6"/>
  <c r="M89" i="6"/>
  <c r="L89" i="6"/>
  <c r="J87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65" i="6" s="1"/>
  <c r="J76" i="6"/>
  <c r="J64" i="6" s="1"/>
  <c r="N74" i="6"/>
  <c r="N72" i="6" s="1"/>
  <c r="M74" i="6"/>
  <c r="L74" i="6"/>
  <c r="L72" i="6" s="1"/>
  <c r="O72" i="6" s="1"/>
  <c r="P73" i="6"/>
  <c r="O73" i="6"/>
  <c r="N71" i="6"/>
  <c r="M71" i="6"/>
  <c r="P71" i="6" s="1"/>
  <c r="L71" i="6"/>
  <c r="L69" i="6" s="1"/>
  <c r="O69" i="6" s="1"/>
  <c r="P70" i="6"/>
  <c r="O70" i="6"/>
  <c r="P67" i="6"/>
  <c r="O67" i="6"/>
  <c r="N67" i="6"/>
  <c r="M67" i="6"/>
  <c r="L67" i="6"/>
  <c r="N61" i="6"/>
  <c r="N59" i="6" s="1"/>
  <c r="M61" i="6"/>
  <c r="L61" i="6"/>
  <c r="L59" i="6" s="1"/>
  <c r="O59" i="6" s="1"/>
  <c r="P60" i="6"/>
  <c r="O60" i="6"/>
  <c r="N58" i="6"/>
  <c r="N56" i="6" s="1"/>
  <c r="M58" i="6"/>
  <c r="M56" i="6" s="1"/>
  <c r="L58" i="6"/>
  <c r="P57" i="6"/>
  <c r="O57" i="6"/>
  <c r="O54" i="6"/>
  <c r="N54" i="6"/>
  <c r="M54" i="6"/>
  <c r="L54" i="6"/>
  <c r="N49" i="6"/>
  <c r="M49" i="6"/>
  <c r="M47" i="6" s="1"/>
  <c r="P47" i="6" s="1"/>
  <c r="L49" i="6"/>
  <c r="L47" i="6" s="1"/>
  <c r="O47" i="6" s="1"/>
  <c r="P48" i="6"/>
  <c r="O48" i="6"/>
  <c r="N46" i="6"/>
  <c r="N44" i="6" s="1"/>
  <c r="M46" i="6"/>
  <c r="L46" i="6"/>
  <c r="P45" i="6"/>
  <c r="O45" i="6"/>
  <c r="P42" i="6"/>
  <c r="N42" i="6"/>
  <c r="M42" i="6"/>
  <c r="L42" i="6"/>
  <c r="N36" i="6"/>
  <c r="M36" i="6"/>
  <c r="P36" i="6" s="1"/>
  <c r="P35" i="6"/>
  <c r="O35" i="6"/>
  <c r="N35" i="6"/>
  <c r="M35" i="6"/>
  <c r="L35" i="6"/>
  <c r="L15" i="6" s="1"/>
  <c r="N34" i="6"/>
  <c r="P32" i="6"/>
  <c r="O32" i="6"/>
  <c r="N32" i="6"/>
  <c r="M32" i="6"/>
  <c r="L32" i="6"/>
  <c r="P29" i="6"/>
  <c r="O29" i="6"/>
  <c r="M29" i="6"/>
  <c r="L29" i="6"/>
  <c r="O25" i="6"/>
  <c r="N25" i="6"/>
  <c r="M25" i="6"/>
  <c r="L25" i="6"/>
  <c r="P22" i="6"/>
  <c r="N22" i="6"/>
  <c r="M22" i="6"/>
  <c r="M19" i="6" s="1"/>
  <c r="L22" i="6"/>
  <c r="O22" i="6" s="1"/>
  <c r="O19" i="6"/>
  <c r="N19" i="6"/>
  <c r="L19" i="6"/>
  <c r="N15" i="6"/>
  <c r="M15" i="6"/>
  <c r="P15" i="6" s="1"/>
  <c r="M12" i="6"/>
  <c r="P12" i="6" s="1"/>
  <c r="L12" i="6"/>
  <c r="O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P808" i="5"/>
  <c r="O808" i="5"/>
  <c r="N808" i="5"/>
  <c r="M808" i="5"/>
  <c r="L808" i="5"/>
  <c r="O807" i="5"/>
  <c r="N807" i="5"/>
  <c r="N805" i="5" s="1"/>
  <c r="M807" i="5"/>
  <c r="L807" i="5"/>
  <c r="P806" i="5"/>
  <c r="N806" i="5"/>
  <c r="M806" i="5"/>
  <c r="L806" i="5"/>
  <c r="O806" i="5" s="1"/>
  <c r="K804" i="5"/>
  <c r="J804" i="5"/>
  <c r="K802" i="5"/>
  <c r="J801" i="5"/>
  <c r="J800" i="5"/>
  <c r="J785" i="5" s="1"/>
  <c r="I800" i="5"/>
  <c r="K800" i="5" s="1"/>
  <c r="P798" i="5"/>
  <c r="O798" i="5"/>
  <c r="P797" i="5"/>
  <c r="O797" i="5"/>
  <c r="P796" i="5"/>
  <c r="O796" i="5"/>
  <c r="N796" i="5"/>
  <c r="M796" i="5"/>
  <c r="L796" i="5"/>
  <c r="P791" i="5"/>
  <c r="N791" i="5"/>
  <c r="N788" i="5" s="1"/>
  <c r="L791" i="5"/>
  <c r="P790" i="5"/>
  <c r="O790" i="5"/>
  <c r="P789" i="5"/>
  <c r="M789" i="5"/>
  <c r="P788" i="5"/>
  <c r="M788" i="5"/>
  <c r="N787" i="5"/>
  <c r="M787" i="5"/>
  <c r="L787" i="5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N773" i="5" s="1"/>
  <c r="P774" i="5"/>
  <c r="O774" i="5"/>
  <c r="P773" i="5"/>
  <c r="O773" i="5"/>
  <c r="M773" i="5"/>
  <c r="L773" i="5"/>
  <c r="N772" i="5"/>
  <c r="M772" i="5"/>
  <c r="P772" i="5" s="1"/>
  <c r="L772" i="5"/>
  <c r="O771" i="5"/>
  <c r="N771" i="5"/>
  <c r="M771" i="5"/>
  <c r="P771" i="5" s="1"/>
  <c r="L771" i="5"/>
  <c r="N770" i="5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P758" i="5"/>
  <c r="O758" i="5"/>
  <c r="M757" i="5"/>
  <c r="P757" i="5" s="1"/>
  <c r="L757" i="5"/>
  <c r="O757" i="5" s="1"/>
  <c r="P756" i="5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N740" i="5" s="1"/>
  <c r="P741" i="5"/>
  <c r="O741" i="5"/>
  <c r="P740" i="5"/>
  <c r="O740" i="5"/>
  <c r="M740" i="5"/>
  <c r="L740" i="5"/>
  <c r="N739" i="5"/>
  <c r="M739" i="5"/>
  <c r="P739" i="5" s="1"/>
  <c r="L739" i="5"/>
  <c r="O738" i="5"/>
  <c r="N738" i="5"/>
  <c r="M738" i="5"/>
  <c r="P738" i="5" s="1"/>
  <c r="L738" i="5"/>
  <c r="N737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N695" i="5"/>
  <c r="M695" i="5"/>
  <c r="P695" i="5" s="1"/>
  <c r="L695" i="5"/>
  <c r="O695" i="5" s="1"/>
  <c r="P690" i="5"/>
  <c r="N690" i="5"/>
  <c r="N687" i="5" s="1"/>
  <c r="L690" i="5"/>
  <c r="O690" i="5" s="1"/>
  <c r="N688" i="5"/>
  <c r="M688" i="5"/>
  <c r="P688" i="5" s="1"/>
  <c r="M687" i="5"/>
  <c r="P687" i="5" s="1"/>
  <c r="P686" i="5"/>
  <c r="O686" i="5"/>
  <c r="N686" i="5"/>
  <c r="N685" i="5" s="1"/>
  <c r="M686" i="5"/>
  <c r="L686" i="5"/>
  <c r="M685" i="5"/>
  <c r="P685" i="5" s="1"/>
  <c r="J679" i="5"/>
  <c r="J678" i="5" s="1"/>
  <c r="I678" i="5"/>
  <c r="K678" i="5" s="1"/>
  <c r="J675" i="5"/>
  <c r="I671" i="5"/>
  <c r="K671" i="5" s="1"/>
  <c r="I670" i="5"/>
  <c r="K670" i="5" s="1"/>
  <c r="J669" i="5"/>
  <c r="J654" i="5" s="1"/>
  <c r="I669" i="5"/>
  <c r="K672" i="5" s="1"/>
  <c r="P667" i="5"/>
  <c r="O667" i="5"/>
  <c r="P666" i="5"/>
  <c r="O666" i="5"/>
  <c r="N665" i="5"/>
  <c r="M665" i="5"/>
  <c r="P665" i="5" s="1"/>
  <c r="L665" i="5"/>
  <c r="O665" i="5" s="1"/>
  <c r="P660" i="5"/>
  <c r="N660" i="5"/>
  <c r="N658" i="5" s="1"/>
  <c r="L660" i="5"/>
  <c r="L657" i="5" s="1"/>
  <c r="P659" i="5"/>
  <c r="O659" i="5"/>
  <c r="P658" i="5"/>
  <c r="M658" i="5"/>
  <c r="N657" i="5"/>
  <c r="M657" i="5"/>
  <c r="P657" i="5" s="1"/>
  <c r="O656" i="5"/>
  <c r="N656" i="5"/>
  <c r="M656" i="5"/>
  <c r="P656" i="5" s="1"/>
  <c r="L656" i="5"/>
  <c r="N655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P639" i="5"/>
  <c r="N639" i="5"/>
  <c r="M639" i="5"/>
  <c r="N638" i="5"/>
  <c r="N637" i="5"/>
  <c r="N635" i="5"/>
  <c r="L634" i="5"/>
  <c r="P633" i="5"/>
  <c r="O633" i="5"/>
  <c r="N630" i="5"/>
  <c r="M630" i="5"/>
  <c r="P630" i="5" s="1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J593" i="5" s="1"/>
  <c r="I594" i="5"/>
  <c r="I593" i="5"/>
  <c r="I592" i="5" s="1"/>
  <c r="J592" i="5"/>
  <c r="J583" i="5"/>
  <c r="J582" i="5"/>
  <c r="J577" i="5"/>
  <c r="I577" i="5"/>
  <c r="K577" i="5" s="1"/>
  <c r="J576" i="5"/>
  <c r="J559" i="5" s="1"/>
  <c r="J543" i="5" s="1"/>
  <c r="I576" i="5"/>
  <c r="I559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P557" i="5"/>
  <c r="L557" i="5"/>
  <c r="O557" i="5" s="1"/>
  <c r="P556" i="5"/>
  <c r="O556" i="5"/>
  <c r="N555" i="5"/>
  <c r="N545" i="5" s="1"/>
  <c r="N544" i="5" s="1"/>
  <c r="M555" i="5"/>
  <c r="N553" i="5"/>
  <c r="N552" i="5"/>
  <c r="N551" i="5"/>
  <c r="N550" i="5"/>
  <c r="N549" i="5"/>
  <c r="N546" i="5" s="1"/>
  <c r="L549" i="5"/>
  <c r="M549" i="5" s="1"/>
  <c r="P548" i="5"/>
  <c r="O548" i="5"/>
  <c r="N547" i="5"/>
  <c r="O545" i="5"/>
  <c r="L545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P535" i="5"/>
  <c r="L535" i="5"/>
  <c r="O535" i="5" s="1"/>
  <c r="P534" i="5"/>
  <c r="O534" i="5"/>
  <c r="P533" i="5"/>
  <c r="N533" i="5"/>
  <c r="M533" i="5"/>
  <c r="P528" i="5"/>
  <c r="N528" i="5"/>
  <c r="L528" i="5"/>
  <c r="P527" i="5"/>
  <c r="O527" i="5"/>
  <c r="N526" i="5"/>
  <c r="M526" i="5"/>
  <c r="P526" i="5" s="1"/>
  <c r="P525" i="5"/>
  <c r="N525" i="5"/>
  <c r="N523" i="5" s="1"/>
  <c r="M525" i="5"/>
  <c r="N524" i="5"/>
  <c r="M524" i="5"/>
  <c r="P524" i="5" s="1"/>
  <c r="L524" i="5"/>
  <c r="K517" i="5"/>
  <c r="J517" i="5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N505" i="5" s="1"/>
  <c r="P506" i="5"/>
  <c r="O506" i="5"/>
  <c r="O505" i="5"/>
  <c r="M505" i="5"/>
  <c r="P505" i="5" s="1"/>
  <c r="L505" i="5"/>
  <c r="P504" i="5"/>
  <c r="O504" i="5"/>
  <c r="N504" i="5"/>
  <c r="N502" i="5" s="1"/>
  <c r="M504" i="5"/>
  <c r="L504" i="5"/>
  <c r="N503" i="5"/>
  <c r="M503" i="5"/>
  <c r="P503" i="5" s="1"/>
  <c r="L503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N477" i="5"/>
  <c r="M477" i="5"/>
  <c r="P477" i="5" s="1"/>
  <c r="N476" i="5"/>
  <c r="N474" i="5"/>
  <c r="N473" i="5"/>
  <c r="N472" i="5"/>
  <c r="L472" i="5"/>
  <c r="M472" i="5" s="1"/>
  <c r="M470" i="5" s="1"/>
  <c r="P471" i="5"/>
  <c r="O471" i="5"/>
  <c r="O468" i="5"/>
  <c r="N468" i="5"/>
  <c r="M468" i="5"/>
  <c r="L468" i="5"/>
  <c r="J466" i="5"/>
  <c r="I466" i="5"/>
  <c r="K466" i="5" s="1"/>
  <c r="J465" i="5"/>
  <c r="I465" i="5"/>
  <c r="I464" i="5"/>
  <c r="I463" i="5"/>
  <c r="I462" i="5"/>
  <c r="I460" i="5"/>
  <c r="K460" i="5" s="1"/>
  <c r="K458" i="5"/>
  <c r="P456" i="5"/>
  <c r="L456" i="5"/>
  <c r="P455" i="5"/>
  <c r="O455" i="5"/>
  <c r="N454" i="5"/>
  <c r="M454" i="5"/>
  <c r="P454" i="5" s="1"/>
  <c r="P449" i="5"/>
  <c r="N449" i="5"/>
  <c r="N446" i="5" s="1"/>
  <c r="L449" i="5"/>
  <c r="O449" i="5" s="1"/>
  <c r="P448" i="5"/>
  <c r="O448" i="5"/>
  <c r="M447" i="5"/>
  <c r="P447" i="5" s="1"/>
  <c r="M446" i="5"/>
  <c r="P446" i="5" s="1"/>
  <c r="P445" i="5"/>
  <c r="O445" i="5"/>
  <c r="N445" i="5"/>
  <c r="M445" i="5"/>
  <c r="L445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J434" i="5"/>
  <c r="P431" i="5"/>
  <c r="L431" i="5"/>
  <c r="O431" i="5" s="1"/>
  <c r="P430" i="5"/>
  <c r="O430" i="5"/>
  <c r="N429" i="5"/>
  <c r="M429" i="5"/>
  <c r="P429" i="5" s="1"/>
  <c r="N428" i="5"/>
  <c r="N425" i="5"/>
  <c r="N424" i="5"/>
  <c r="L424" i="5"/>
  <c r="M424" i="5" s="1"/>
  <c r="M422" i="5" s="1"/>
  <c r="P423" i="5"/>
  <c r="O423" i="5"/>
  <c r="O420" i="5"/>
  <c r="N420" i="5"/>
  <c r="M420" i="5"/>
  <c r="L420" i="5"/>
  <c r="J418" i="5"/>
  <c r="K413" i="5"/>
  <c r="K412" i="5"/>
  <c r="N410" i="5"/>
  <c r="N408" i="5" s="1"/>
  <c r="M410" i="5"/>
  <c r="P410" i="5" s="1"/>
  <c r="L410" i="5"/>
  <c r="O410" i="5" s="1"/>
  <c r="P409" i="5"/>
  <c r="O409" i="5"/>
  <c r="N407" i="5"/>
  <c r="N405" i="5" s="1"/>
  <c r="M407" i="5"/>
  <c r="M405" i="5" s="1"/>
  <c r="P405" i="5" s="1"/>
  <c r="L407" i="5"/>
  <c r="O407" i="5" s="1"/>
  <c r="P406" i="5"/>
  <c r="O406" i="5"/>
  <c r="O403" i="5"/>
  <c r="N403" i="5"/>
  <c r="M403" i="5"/>
  <c r="P403" i="5" s="1"/>
  <c r="L403" i="5"/>
  <c r="K401" i="5"/>
  <c r="J401" i="5"/>
  <c r="I401" i="5"/>
  <c r="K400" i="5"/>
  <c r="K399" i="5"/>
  <c r="N397" i="5"/>
  <c r="N395" i="5" s="1"/>
  <c r="M397" i="5"/>
  <c r="M395" i="5" s="1"/>
  <c r="P395" i="5" s="1"/>
  <c r="L397" i="5"/>
  <c r="O397" i="5" s="1"/>
  <c r="P396" i="5"/>
  <c r="O396" i="5"/>
  <c r="N394" i="5"/>
  <c r="M394" i="5"/>
  <c r="M392" i="5" s="1"/>
  <c r="P392" i="5" s="1"/>
  <c r="L394" i="5"/>
  <c r="L392" i="5" s="1"/>
  <c r="O392" i="5" s="1"/>
  <c r="P393" i="5"/>
  <c r="O393" i="5"/>
  <c r="O390" i="5"/>
  <c r="N390" i="5"/>
  <c r="M390" i="5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L351" i="5" s="1"/>
  <c r="P352" i="5"/>
  <c r="O352" i="5"/>
  <c r="N350" i="5"/>
  <c r="N348" i="5" s="1"/>
  <c r="M350" i="5"/>
  <c r="M348" i="5" s="1"/>
  <c r="L350" i="5"/>
  <c r="P349" i="5"/>
  <c r="O349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L334" i="5" s="1"/>
  <c r="O334" i="5" s="1"/>
  <c r="P335" i="5"/>
  <c r="O335" i="5"/>
  <c r="N333" i="5"/>
  <c r="N331" i="5" s="1"/>
  <c r="M333" i="5"/>
  <c r="L333" i="5"/>
  <c r="P332" i="5"/>
  <c r="O332" i="5"/>
  <c r="N329" i="5"/>
  <c r="M329" i="5"/>
  <c r="L329" i="5"/>
  <c r="I327" i="5"/>
  <c r="I325" i="5"/>
  <c r="I314" i="5" s="1"/>
  <c r="K314" i="5" s="1"/>
  <c r="N323" i="5"/>
  <c r="N321" i="5" s="1"/>
  <c r="M323" i="5"/>
  <c r="L323" i="5"/>
  <c r="P322" i="5"/>
  <c r="O322" i="5"/>
  <c r="N320" i="5"/>
  <c r="N318" i="5" s="1"/>
  <c r="M320" i="5"/>
  <c r="M318" i="5" s="1"/>
  <c r="P318" i="5" s="1"/>
  <c r="L320" i="5"/>
  <c r="L318" i="5" s="1"/>
  <c r="O318" i="5" s="1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N306" i="5"/>
  <c r="N304" i="5" s="1"/>
  <c r="M306" i="5"/>
  <c r="P306" i="5" s="1"/>
  <c r="L306" i="5"/>
  <c r="P305" i="5"/>
  <c r="O305" i="5"/>
  <c r="N303" i="5"/>
  <c r="N301" i="5" s="1"/>
  <c r="M303" i="5"/>
  <c r="M301" i="5" s="1"/>
  <c r="L303" i="5"/>
  <c r="L301" i="5" s="1"/>
  <c r="P302" i="5"/>
  <c r="O302" i="5"/>
  <c r="O299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K288" i="5" s="1"/>
  <c r="I287" i="5"/>
  <c r="K287" i="5" s="1"/>
  <c r="N285" i="5"/>
  <c r="N283" i="5" s="1"/>
  <c r="M285" i="5"/>
  <c r="M283" i="5" s="1"/>
  <c r="P283" i="5" s="1"/>
  <c r="L285" i="5"/>
  <c r="O285" i="5" s="1"/>
  <c r="P284" i="5"/>
  <c r="O284" i="5"/>
  <c r="N282" i="5"/>
  <c r="N280" i="5" s="1"/>
  <c r="M282" i="5"/>
  <c r="M280" i="5" s="1"/>
  <c r="P280" i="5" s="1"/>
  <c r="L282" i="5"/>
  <c r="L280" i="5" s="1"/>
  <c r="O280" i="5" s="1"/>
  <c r="P281" i="5"/>
  <c r="O281" i="5"/>
  <c r="P278" i="5"/>
  <c r="N278" i="5"/>
  <c r="M278" i="5"/>
  <c r="L278" i="5"/>
  <c r="O278" i="5" s="1"/>
  <c r="J276" i="5"/>
  <c r="I271" i="5"/>
  <c r="K271" i="5" s="1"/>
  <c r="N269" i="5"/>
  <c r="N267" i="5" s="1"/>
  <c r="M269" i="5"/>
  <c r="L269" i="5"/>
  <c r="L267" i="5" s="1"/>
  <c r="O267" i="5" s="1"/>
  <c r="P268" i="5"/>
  <c r="O268" i="5"/>
  <c r="N266" i="5"/>
  <c r="M266" i="5"/>
  <c r="L266" i="5"/>
  <c r="P265" i="5"/>
  <c r="O265" i="5"/>
  <c r="P262" i="5"/>
  <c r="N262" i="5"/>
  <c r="M262" i="5"/>
  <c r="L262" i="5"/>
  <c r="J260" i="5"/>
  <c r="K258" i="5"/>
  <c r="K257" i="5"/>
  <c r="I255" i="5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N239" i="5"/>
  <c r="N238" i="5" s="1"/>
  <c r="L239" i="5"/>
  <c r="P238" i="5"/>
  <c r="J237" i="5"/>
  <c r="I237" i="5"/>
  <c r="K236" i="5"/>
  <c r="J236" i="5"/>
  <c r="I236" i="5"/>
  <c r="K235" i="5"/>
  <c r="J235" i="5"/>
  <c r="I235" i="5"/>
  <c r="J233" i="5"/>
  <c r="N231" i="5"/>
  <c r="N230" i="5"/>
  <c r="N229" i="5"/>
  <c r="N227" i="5"/>
  <c r="J226" i="5"/>
  <c r="J180" i="5" s="1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5" i="5"/>
  <c r="J194" i="5" s="1"/>
  <c r="I193" i="5"/>
  <c r="K193" i="5" s="1"/>
  <c r="P191" i="5"/>
  <c r="N191" i="5"/>
  <c r="L191" i="5"/>
  <c r="J190" i="5"/>
  <c r="N189" i="5"/>
  <c r="N187" i="5" s="1"/>
  <c r="M189" i="5"/>
  <c r="P189" i="5" s="1"/>
  <c r="L189" i="5"/>
  <c r="O189" i="5" s="1"/>
  <c r="P188" i="5"/>
  <c r="O188" i="5"/>
  <c r="N186" i="5"/>
  <c r="M186" i="5"/>
  <c r="M184" i="5" s="1"/>
  <c r="L186" i="5"/>
  <c r="L184" i="5" s="1"/>
  <c r="P185" i="5"/>
  <c r="O185" i="5"/>
  <c r="P182" i="5"/>
  <c r="O182" i="5"/>
  <c r="N182" i="5"/>
  <c r="M182" i="5"/>
  <c r="L182" i="5"/>
  <c r="J177" i="5"/>
  <c r="I176" i="5"/>
  <c r="I174" i="5" s="1"/>
  <c r="J174" i="5"/>
  <c r="J164" i="5" s="1"/>
  <c r="N173" i="5"/>
  <c r="N171" i="5" s="1"/>
  <c r="M173" i="5"/>
  <c r="P173" i="5" s="1"/>
  <c r="L173" i="5"/>
  <c r="O173" i="5" s="1"/>
  <c r="P172" i="5"/>
  <c r="O172" i="5"/>
  <c r="N170" i="5"/>
  <c r="N168" i="5" s="1"/>
  <c r="M170" i="5"/>
  <c r="M168" i="5" s="1"/>
  <c r="L170" i="5"/>
  <c r="L168" i="5" s="1"/>
  <c r="P169" i="5"/>
  <c r="O169" i="5"/>
  <c r="P166" i="5"/>
  <c r="O166" i="5"/>
  <c r="N166" i="5"/>
  <c r="M166" i="5"/>
  <c r="L166" i="5"/>
  <c r="I159" i="5"/>
  <c r="I148" i="5" s="1"/>
  <c r="K148" i="5" s="1"/>
  <c r="N157" i="5"/>
  <c r="N155" i="5" s="1"/>
  <c r="M157" i="5"/>
  <c r="M155" i="5" s="1"/>
  <c r="P155" i="5" s="1"/>
  <c r="L157" i="5"/>
  <c r="L155" i="5" s="1"/>
  <c r="O155" i="5" s="1"/>
  <c r="P156" i="5"/>
  <c r="O156" i="5"/>
  <c r="N154" i="5"/>
  <c r="M154" i="5"/>
  <c r="L154" i="5"/>
  <c r="L152" i="5" s="1"/>
  <c r="O152" i="5" s="1"/>
  <c r="P153" i="5"/>
  <c r="O153" i="5"/>
  <c r="O150" i="5"/>
  <c r="N150" i="5"/>
  <c r="M150" i="5"/>
  <c r="P150" i="5" s="1"/>
  <c r="L150" i="5"/>
  <c r="J148" i="5"/>
  <c r="I146" i="5"/>
  <c r="K146" i="5" s="1"/>
  <c r="I145" i="5"/>
  <c r="I143" i="5" s="1"/>
  <c r="I144" i="5"/>
  <c r="N140" i="5"/>
  <c r="N138" i="5" s="1"/>
  <c r="M140" i="5"/>
  <c r="L140" i="5"/>
  <c r="L138" i="5" s="1"/>
  <c r="P139" i="5"/>
  <c r="O139" i="5"/>
  <c r="N137" i="5"/>
  <c r="M137" i="5"/>
  <c r="L137" i="5"/>
  <c r="L135" i="5" s="1"/>
  <c r="P136" i="5"/>
  <c r="O136" i="5"/>
  <c r="P133" i="5"/>
  <c r="O133" i="5"/>
  <c r="N133" i="5"/>
  <c r="M133" i="5"/>
  <c r="L133" i="5"/>
  <c r="J130" i="5"/>
  <c r="N127" i="5"/>
  <c r="M127" i="5"/>
  <c r="M125" i="5" s="1"/>
  <c r="L127" i="5"/>
  <c r="L125" i="5" s="1"/>
  <c r="P126" i="5"/>
  <c r="O126" i="5"/>
  <c r="N124" i="5"/>
  <c r="M124" i="5"/>
  <c r="L124" i="5"/>
  <c r="P123" i="5"/>
  <c r="O123" i="5"/>
  <c r="O120" i="5"/>
  <c r="N120" i="5"/>
  <c r="M120" i="5"/>
  <c r="P120" i="5" s="1"/>
  <c r="L120" i="5"/>
  <c r="K118" i="5"/>
  <c r="J118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I98" i="5"/>
  <c r="K98" i="5" s="1"/>
  <c r="N96" i="5"/>
  <c r="N94" i="5" s="1"/>
  <c r="M96" i="5"/>
  <c r="M94" i="5" s="1"/>
  <c r="P94" i="5" s="1"/>
  <c r="L96" i="5"/>
  <c r="L94" i="5" s="1"/>
  <c r="O94" i="5" s="1"/>
  <c r="P95" i="5"/>
  <c r="O95" i="5"/>
  <c r="N93" i="5"/>
  <c r="N91" i="5" s="1"/>
  <c r="M93" i="5"/>
  <c r="M91" i="5" s="1"/>
  <c r="L93" i="5"/>
  <c r="P92" i="5"/>
  <c r="O92" i="5"/>
  <c r="N89" i="5"/>
  <c r="M89" i="5"/>
  <c r="L89" i="5"/>
  <c r="O89" i="5" s="1"/>
  <c r="J87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K78" i="5" s="1"/>
  <c r="J77" i="5"/>
  <c r="J76" i="5"/>
  <c r="N74" i="5"/>
  <c r="N72" i="5" s="1"/>
  <c r="M74" i="5"/>
  <c r="M72" i="5" s="1"/>
  <c r="P72" i="5" s="1"/>
  <c r="L74" i="5"/>
  <c r="L72" i="5" s="1"/>
  <c r="O72" i="5" s="1"/>
  <c r="P73" i="5"/>
  <c r="O73" i="5"/>
  <c r="N71" i="5"/>
  <c r="M71" i="5"/>
  <c r="L71" i="5"/>
  <c r="P70" i="5"/>
  <c r="O70" i="5"/>
  <c r="N67" i="5"/>
  <c r="M67" i="5"/>
  <c r="L67" i="5"/>
  <c r="O67" i="5" s="1"/>
  <c r="J65" i="5"/>
  <c r="J64" i="5"/>
  <c r="N61" i="5"/>
  <c r="N59" i="5" s="1"/>
  <c r="M61" i="5"/>
  <c r="L61" i="5"/>
  <c r="L59" i="5" s="1"/>
  <c r="P60" i="5"/>
  <c r="O60" i="5"/>
  <c r="N58" i="5"/>
  <c r="M58" i="5"/>
  <c r="M56" i="5" s="1"/>
  <c r="L58" i="5"/>
  <c r="L56" i="5" s="1"/>
  <c r="P57" i="5"/>
  <c r="O57" i="5"/>
  <c r="P54" i="5"/>
  <c r="O54" i="5"/>
  <c r="N54" i="5"/>
  <c r="M54" i="5"/>
  <c r="L54" i="5"/>
  <c r="N49" i="5"/>
  <c r="N47" i="5" s="1"/>
  <c r="M49" i="5"/>
  <c r="L49" i="5"/>
  <c r="O49" i="5" s="1"/>
  <c r="P48" i="5"/>
  <c r="O48" i="5"/>
  <c r="N46" i="5"/>
  <c r="N44" i="5" s="1"/>
  <c r="M46" i="5"/>
  <c r="M44" i="5" s="1"/>
  <c r="L46" i="5"/>
  <c r="L44" i="5" s="1"/>
  <c r="P45" i="5"/>
  <c r="O45" i="5"/>
  <c r="P42" i="5"/>
  <c r="O42" i="5"/>
  <c r="N42" i="5"/>
  <c r="M42" i="5"/>
  <c r="L42" i="5"/>
  <c r="N36" i="5"/>
  <c r="M36" i="5"/>
  <c r="P36" i="5" s="1"/>
  <c r="N35" i="5"/>
  <c r="M35" i="5"/>
  <c r="L35" i="5"/>
  <c r="N32" i="5"/>
  <c r="M32" i="5"/>
  <c r="L32" i="5"/>
  <c r="L29" i="5" s="1"/>
  <c r="P25" i="5"/>
  <c r="O25" i="5"/>
  <c r="N25" i="5"/>
  <c r="M25" i="5"/>
  <c r="L25" i="5"/>
  <c r="P22" i="5"/>
  <c r="O22" i="5"/>
  <c r="N22" i="5"/>
  <c r="N19" i="5" s="1"/>
  <c r="M22" i="5"/>
  <c r="L22" i="5"/>
  <c r="L19" i="5" s="1"/>
  <c r="O19" i="5"/>
  <c r="M19" i="5"/>
  <c r="N15" i="5"/>
  <c r="M15" i="5"/>
  <c r="L15" i="5"/>
  <c r="N12" i="5"/>
  <c r="N9" i="5" s="1"/>
  <c r="M12" i="5"/>
  <c r="M9" i="5" s="1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N815" i="4"/>
  <c r="M815" i="4"/>
  <c r="P815" i="4" s="1"/>
  <c r="L815" i="4"/>
  <c r="O815" i="4" s="1"/>
  <c r="P810" i="4"/>
  <c r="O810" i="4"/>
  <c r="N810" i="4"/>
  <c r="N808" i="4" s="1"/>
  <c r="P809" i="4"/>
  <c r="O809" i="4"/>
  <c r="P808" i="4"/>
  <c r="O808" i="4"/>
  <c r="M808" i="4"/>
  <c r="L808" i="4"/>
  <c r="M807" i="4"/>
  <c r="P807" i="4" s="1"/>
  <c r="L807" i="4"/>
  <c r="L805" i="4" s="1"/>
  <c r="O805" i="4" s="1"/>
  <c r="O806" i="4"/>
  <c r="N806" i="4"/>
  <c r="M806" i="4"/>
  <c r="P806" i="4" s="1"/>
  <c r="L806" i="4"/>
  <c r="K804" i="4"/>
  <c r="J804" i="4"/>
  <c r="K802" i="4"/>
  <c r="J801" i="4"/>
  <c r="J800" i="4"/>
  <c r="J785" i="4" s="1"/>
  <c r="I800" i="4"/>
  <c r="I785" i="4" s="1"/>
  <c r="K785" i="4" s="1"/>
  <c r="P798" i="4"/>
  <c r="O798" i="4"/>
  <c r="P797" i="4"/>
  <c r="O797" i="4"/>
  <c r="O796" i="4"/>
  <c r="N796" i="4"/>
  <c r="M796" i="4"/>
  <c r="P796" i="4" s="1"/>
  <c r="L796" i="4"/>
  <c r="P791" i="4"/>
  <c r="N791" i="4"/>
  <c r="N789" i="4" s="1"/>
  <c r="L791" i="4"/>
  <c r="P790" i="4"/>
  <c r="O790" i="4"/>
  <c r="M789" i="4"/>
  <c r="P789" i="4" s="1"/>
  <c r="N788" i="4"/>
  <c r="M788" i="4"/>
  <c r="M786" i="4" s="1"/>
  <c r="P786" i="4" s="1"/>
  <c r="P787" i="4"/>
  <c r="N787" i="4"/>
  <c r="N786" i="4" s="1"/>
  <c r="M787" i="4"/>
  <c r="L787" i="4"/>
  <c r="P782" i="4"/>
  <c r="O782" i="4"/>
  <c r="P781" i="4"/>
  <c r="O781" i="4"/>
  <c r="N780" i="4"/>
  <c r="M780" i="4"/>
  <c r="P780" i="4" s="1"/>
  <c r="L780" i="4"/>
  <c r="O780" i="4" s="1"/>
  <c r="P775" i="4"/>
  <c r="O775" i="4"/>
  <c r="N775" i="4"/>
  <c r="P774" i="4"/>
  <c r="O774" i="4"/>
  <c r="O773" i="4"/>
  <c r="N773" i="4"/>
  <c r="M773" i="4"/>
  <c r="P773" i="4" s="1"/>
  <c r="L773" i="4"/>
  <c r="P772" i="4"/>
  <c r="N772" i="4"/>
  <c r="M772" i="4"/>
  <c r="L772" i="4"/>
  <c r="O772" i="4" s="1"/>
  <c r="P771" i="4"/>
  <c r="N771" i="4"/>
  <c r="M771" i="4"/>
  <c r="L771" i="4"/>
  <c r="O771" i="4" s="1"/>
  <c r="N770" i="4"/>
  <c r="M770" i="4"/>
  <c r="P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P757" i="4"/>
  <c r="O757" i="4"/>
  <c r="M757" i="4"/>
  <c r="L757" i="4"/>
  <c r="P756" i="4"/>
  <c r="O756" i="4"/>
  <c r="M756" i="4"/>
  <c r="L756" i="4"/>
  <c r="N755" i="4"/>
  <c r="M755" i="4"/>
  <c r="L755" i="4"/>
  <c r="O755" i="4" s="1"/>
  <c r="K753" i="4"/>
  <c r="J753" i="4"/>
  <c r="P749" i="4"/>
  <c r="O749" i="4"/>
  <c r="P748" i="4"/>
  <c r="O748" i="4"/>
  <c r="N747" i="4"/>
  <c r="M747" i="4"/>
  <c r="P747" i="4" s="1"/>
  <c r="L747" i="4"/>
  <c r="O747" i="4" s="1"/>
  <c r="P742" i="4"/>
  <c r="O742" i="4"/>
  <c r="N742" i="4"/>
  <c r="P741" i="4"/>
  <c r="O741" i="4"/>
  <c r="O740" i="4"/>
  <c r="N740" i="4"/>
  <c r="M740" i="4"/>
  <c r="P740" i="4" s="1"/>
  <c r="L740" i="4"/>
  <c r="P739" i="4"/>
  <c r="N739" i="4"/>
  <c r="M739" i="4"/>
  <c r="L739" i="4"/>
  <c r="O739" i="4" s="1"/>
  <c r="P738" i="4"/>
  <c r="N738" i="4"/>
  <c r="M738" i="4"/>
  <c r="L738" i="4"/>
  <c r="O738" i="4" s="1"/>
  <c r="N737" i="4"/>
  <c r="M737" i="4"/>
  <c r="P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P690" i="4"/>
  <c r="N690" i="4"/>
  <c r="N687" i="4" s="1"/>
  <c r="L690" i="4"/>
  <c r="L688" i="4" s="1"/>
  <c r="O688" i="4" s="1"/>
  <c r="P688" i="4"/>
  <c r="M688" i="4"/>
  <c r="P687" i="4"/>
  <c r="M687" i="4"/>
  <c r="N686" i="4"/>
  <c r="N685" i="4" s="1"/>
  <c r="M686" i="4"/>
  <c r="P686" i="4" s="1"/>
  <c r="L686" i="4"/>
  <c r="O686" i="4" s="1"/>
  <c r="J679" i="4"/>
  <c r="J678" i="4" s="1"/>
  <c r="I678" i="4"/>
  <c r="K678" i="4" s="1"/>
  <c r="J675" i="4"/>
  <c r="J669" i="4" s="1"/>
  <c r="J654" i="4" s="1"/>
  <c r="I671" i="4"/>
  <c r="K671" i="4" s="1"/>
  <c r="I670" i="4"/>
  <c r="K670" i="4" s="1"/>
  <c r="I669" i="4"/>
  <c r="P667" i="4"/>
  <c r="O667" i="4"/>
  <c r="P666" i="4"/>
  <c r="O666" i="4"/>
  <c r="P665" i="4"/>
  <c r="N665" i="4"/>
  <c r="M665" i="4"/>
  <c r="L665" i="4"/>
  <c r="O665" i="4" s="1"/>
  <c r="P660" i="4"/>
  <c r="N660" i="4"/>
  <c r="N657" i="4" s="1"/>
  <c r="N655" i="4" s="1"/>
  <c r="L660" i="4"/>
  <c r="L658" i="4" s="1"/>
  <c r="O658" i="4" s="1"/>
  <c r="P659" i="4"/>
  <c r="O659" i="4"/>
  <c r="N658" i="4"/>
  <c r="M658" i="4"/>
  <c r="P658" i="4" s="1"/>
  <c r="P657" i="4"/>
  <c r="M657" i="4"/>
  <c r="P656" i="4"/>
  <c r="N656" i="4"/>
  <c r="M656" i="4"/>
  <c r="L656" i="4"/>
  <c r="O656" i="4" s="1"/>
  <c r="M655" i="4"/>
  <c r="P655" i="4" s="1"/>
  <c r="K652" i="4"/>
  <c r="J652" i="4"/>
  <c r="J651" i="4"/>
  <c r="J628" i="4" s="1"/>
  <c r="I651" i="4"/>
  <c r="K651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N639" i="4"/>
  <c r="M639" i="4"/>
  <c r="P639" i="4" s="1"/>
  <c r="P634" i="4"/>
  <c r="N634" i="4"/>
  <c r="N631" i="4" s="1"/>
  <c r="L634" i="4"/>
  <c r="P633" i="4"/>
  <c r="O633" i="4"/>
  <c r="M632" i="4"/>
  <c r="P632" i="4" s="1"/>
  <c r="M631" i="4"/>
  <c r="P631" i="4" s="1"/>
  <c r="O630" i="4"/>
  <c r="N630" i="4"/>
  <c r="N629" i="4" s="1"/>
  <c r="M630" i="4"/>
  <c r="P630" i="4" s="1"/>
  <c r="L630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594" i="4" s="1"/>
  <c r="J603" i="4"/>
  <c r="J593" i="4" s="1"/>
  <c r="J592" i="4" s="1"/>
  <c r="J596" i="4"/>
  <c r="J595" i="4"/>
  <c r="I594" i="4"/>
  <c r="I593" i="4"/>
  <c r="J583" i="4"/>
  <c r="J582" i="4"/>
  <c r="J577" i="4"/>
  <c r="I577" i="4"/>
  <c r="J576" i="4"/>
  <c r="I576" i="4"/>
  <c r="I559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J559" i="4"/>
  <c r="P557" i="4"/>
  <c r="L557" i="4"/>
  <c r="L555" i="4" s="1"/>
  <c r="O555" i="4" s="1"/>
  <c r="P556" i="4"/>
  <c r="O556" i="4"/>
  <c r="P555" i="4"/>
  <c r="N555" i="4"/>
  <c r="M555" i="4"/>
  <c r="N549" i="4"/>
  <c r="L549" i="4"/>
  <c r="L547" i="4" s="1"/>
  <c r="P548" i="4"/>
  <c r="O548" i="4"/>
  <c r="O545" i="4"/>
  <c r="N545" i="4"/>
  <c r="M545" i="4"/>
  <c r="P545" i="4" s="1"/>
  <c r="L545" i="4"/>
  <c r="J543" i="4"/>
  <c r="I542" i="4"/>
  <c r="K542" i="4" s="1"/>
  <c r="I541" i="4"/>
  <c r="K541" i="4" s="1"/>
  <c r="I540" i="4"/>
  <c r="K540" i="4" s="1"/>
  <c r="I539" i="4"/>
  <c r="K539" i="4" s="1"/>
  <c r="I538" i="4"/>
  <c r="I537" i="4"/>
  <c r="P535" i="4"/>
  <c r="L535" i="4"/>
  <c r="L533" i="4" s="1"/>
  <c r="O533" i="4" s="1"/>
  <c r="P534" i="4"/>
  <c r="O534" i="4"/>
  <c r="N533" i="4"/>
  <c r="M533" i="4"/>
  <c r="P533" i="4" s="1"/>
  <c r="P528" i="4"/>
  <c r="N528" i="4"/>
  <c r="N526" i="4" s="1"/>
  <c r="L528" i="4"/>
  <c r="P527" i="4"/>
  <c r="O527" i="4"/>
  <c r="P526" i="4"/>
  <c r="M526" i="4"/>
  <c r="M525" i="4"/>
  <c r="P524" i="4"/>
  <c r="N524" i="4"/>
  <c r="M524" i="4"/>
  <c r="L524" i="4"/>
  <c r="O524" i="4" s="1"/>
  <c r="K517" i="4"/>
  <c r="J517" i="4"/>
  <c r="J501" i="4" s="1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P506" i="4"/>
  <c r="O506" i="4"/>
  <c r="P505" i="4"/>
  <c r="N505" i="4"/>
  <c r="M505" i="4"/>
  <c r="L505" i="4"/>
  <c r="O505" i="4" s="1"/>
  <c r="N504" i="4"/>
  <c r="M504" i="4"/>
  <c r="L504" i="4"/>
  <c r="O504" i="4" s="1"/>
  <c r="P503" i="4"/>
  <c r="N503" i="4"/>
  <c r="N502" i="4" s="1"/>
  <c r="M503" i="4"/>
  <c r="L503" i="4"/>
  <c r="O503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N477" i="4"/>
  <c r="M477" i="4"/>
  <c r="P477" i="4" s="1"/>
  <c r="N472" i="4"/>
  <c r="N470" i="4" s="1"/>
  <c r="L472" i="4"/>
  <c r="P471" i="4"/>
  <c r="O471" i="4"/>
  <c r="O468" i="4"/>
  <c r="N468" i="4"/>
  <c r="M468" i="4"/>
  <c r="L468" i="4"/>
  <c r="J466" i="4"/>
  <c r="I466" i="4"/>
  <c r="K466" i="4" s="1"/>
  <c r="J465" i="4"/>
  <c r="I465" i="4"/>
  <c r="I464" i="4"/>
  <c r="I463" i="4"/>
  <c r="I462" i="4"/>
  <c r="K462" i="4" s="1"/>
  <c r="I460" i="4"/>
  <c r="I442" i="4" s="1"/>
  <c r="K442" i="4" s="1"/>
  <c r="K458" i="4"/>
  <c r="P456" i="4"/>
  <c r="L456" i="4"/>
  <c r="O456" i="4" s="1"/>
  <c r="P455" i="4"/>
  <c r="O455" i="4"/>
  <c r="N454" i="4"/>
  <c r="M454" i="4"/>
  <c r="P454" i="4" s="1"/>
  <c r="N449" i="4"/>
  <c r="L449" i="4"/>
  <c r="P448" i="4"/>
  <c r="O448" i="4"/>
  <c r="N446" i="4"/>
  <c r="N444" i="4" s="1"/>
  <c r="O445" i="4"/>
  <c r="N445" i="4"/>
  <c r="M445" i="4"/>
  <c r="P445" i="4" s="1"/>
  <c r="L445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I435" i="4"/>
  <c r="K435" i="4" s="1"/>
  <c r="J434" i="4"/>
  <c r="J418" i="4" s="1"/>
  <c r="P431" i="4"/>
  <c r="L431" i="4"/>
  <c r="P430" i="4"/>
  <c r="O430" i="4"/>
  <c r="P429" i="4"/>
  <c r="N429" i="4"/>
  <c r="M429" i="4"/>
  <c r="N424" i="4"/>
  <c r="N421" i="4" s="1"/>
  <c r="N419" i="4" s="1"/>
  <c r="L424" i="4"/>
  <c r="O424" i="4" s="1"/>
  <c r="P423" i="4"/>
  <c r="O423" i="4"/>
  <c r="N422" i="4"/>
  <c r="P420" i="4"/>
  <c r="N420" i="4"/>
  <c r="M420" i="4"/>
  <c r="L420" i="4"/>
  <c r="K413" i="4"/>
  <c r="K412" i="4"/>
  <c r="N410" i="4"/>
  <c r="N408" i="4" s="1"/>
  <c r="M410" i="4"/>
  <c r="M408" i="4" s="1"/>
  <c r="P408" i="4" s="1"/>
  <c r="L410" i="4"/>
  <c r="O410" i="4" s="1"/>
  <c r="P409" i="4"/>
  <c r="O409" i="4"/>
  <c r="N407" i="4"/>
  <c r="N405" i="4" s="1"/>
  <c r="M407" i="4"/>
  <c r="P407" i="4" s="1"/>
  <c r="L407" i="4"/>
  <c r="O407" i="4" s="1"/>
  <c r="P406" i="4"/>
  <c r="O406" i="4"/>
  <c r="N403" i="4"/>
  <c r="M403" i="4"/>
  <c r="L403" i="4"/>
  <c r="J401" i="4"/>
  <c r="I401" i="4"/>
  <c r="K401" i="4" s="1"/>
  <c r="K400" i="4"/>
  <c r="K399" i="4"/>
  <c r="N397" i="4"/>
  <c r="N395" i="4" s="1"/>
  <c r="M397" i="4"/>
  <c r="L397" i="4"/>
  <c r="L395" i="4" s="1"/>
  <c r="O395" i="4" s="1"/>
  <c r="P396" i="4"/>
  <c r="O396" i="4"/>
  <c r="N394" i="4"/>
  <c r="N392" i="4" s="1"/>
  <c r="M394" i="4"/>
  <c r="L394" i="4"/>
  <c r="O394" i="4" s="1"/>
  <c r="P393" i="4"/>
  <c r="O393" i="4"/>
  <c r="P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M350" i="4"/>
  <c r="L350" i="4"/>
  <c r="P349" i="4"/>
  <c r="O349" i="4"/>
  <c r="O346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L334" i="4" s="1"/>
  <c r="O334" i="4" s="1"/>
  <c r="P335" i="4"/>
  <c r="O335" i="4"/>
  <c r="N333" i="4"/>
  <c r="M333" i="4"/>
  <c r="L333" i="4"/>
  <c r="P332" i="4"/>
  <c r="O332" i="4"/>
  <c r="O329" i="4"/>
  <c r="N329" i="4"/>
  <c r="M329" i="4"/>
  <c r="P329" i="4" s="1"/>
  <c r="L329" i="4"/>
  <c r="I327" i="4"/>
  <c r="I325" i="4"/>
  <c r="N323" i="4"/>
  <c r="M323" i="4"/>
  <c r="P323" i="4" s="1"/>
  <c r="L323" i="4"/>
  <c r="O323" i="4" s="1"/>
  <c r="P322" i="4"/>
  <c r="O322" i="4"/>
  <c r="N320" i="4"/>
  <c r="N318" i="4" s="1"/>
  <c r="M320" i="4"/>
  <c r="L320" i="4"/>
  <c r="O320" i="4" s="1"/>
  <c r="P319" i="4"/>
  <c r="O319" i="4"/>
  <c r="P316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I297" i="4" s="1"/>
  <c r="K297" i="4" s="1"/>
  <c r="N306" i="4"/>
  <c r="N304" i="4" s="1"/>
  <c r="M306" i="4"/>
  <c r="L306" i="4"/>
  <c r="L304" i="4" s="1"/>
  <c r="O304" i="4" s="1"/>
  <c r="P305" i="4"/>
  <c r="O305" i="4"/>
  <c r="N303" i="4"/>
  <c r="M303" i="4"/>
  <c r="P303" i="4" s="1"/>
  <c r="L303" i="4"/>
  <c r="P302" i="4"/>
  <c r="O302" i="4"/>
  <c r="P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K288" i="4" s="1"/>
  <c r="I287" i="4"/>
  <c r="K287" i="4" s="1"/>
  <c r="N285" i="4"/>
  <c r="N283" i="4" s="1"/>
  <c r="M285" i="4"/>
  <c r="P285" i="4" s="1"/>
  <c r="L285" i="4"/>
  <c r="P284" i="4"/>
  <c r="O284" i="4"/>
  <c r="N282" i="4"/>
  <c r="N280" i="4" s="1"/>
  <c r="M282" i="4"/>
  <c r="P282" i="4" s="1"/>
  <c r="L282" i="4"/>
  <c r="O282" i="4" s="1"/>
  <c r="P281" i="4"/>
  <c r="O281" i="4"/>
  <c r="N278" i="4"/>
  <c r="M278" i="4"/>
  <c r="P278" i="4" s="1"/>
  <c r="L278" i="4"/>
  <c r="O278" i="4" s="1"/>
  <c r="J276" i="4"/>
  <c r="I271" i="4"/>
  <c r="N269" i="4"/>
  <c r="M269" i="4"/>
  <c r="L269" i="4"/>
  <c r="O269" i="4" s="1"/>
  <c r="P268" i="4"/>
  <c r="O268" i="4"/>
  <c r="N266" i="4"/>
  <c r="N264" i="4" s="1"/>
  <c r="M266" i="4"/>
  <c r="M264" i="4" s="1"/>
  <c r="L266" i="4"/>
  <c r="L264" i="4" s="1"/>
  <c r="P265" i="4"/>
  <c r="O265" i="4"/>
  <c r="P262" i="4"/>
  <c r="N262" i="4"/>
  <c r="M262" i="4"/>
  <c r="L262" i="4"/>
  <c r="O262" i="4" s="1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J248" i="4"/>
  <c r="J226" i="4" s="1"/>
  <c r="J180" i="4" s="1"/>
  <c r="K247" i="4"/>
  <c r="K246" i="4"/>
  <c r="I244" i="4"/>
  <c r="L242" i="4"/>
  <c r="L241" i="4"/>
  <c r="L240" i="4"/>
  <c r="L239" i="4"/>
  <c r="P238" i="4"/>
  <c r="N238" i="4"/>
  <c r="N227" i="4" s="1"/>
  <c r="J237" i="4"/>
  <c r="J236" i="4"/>
  <c r="I236" i="4"/>
  <c r="K236" i="4" s="1"/>
  <c r="J235" i="4"/>
  <c r="I235" i="4"/>
  <c r="K235" i="4" s="1"/>
  <c r="J233" i="4"/>
  <c r="N231" i="4"/>
  <c r="N230" i="4"/>
  <c r="N229" i="4"/>
  <c r="N228" i="4"/>
  <c r="I225" i="4"/>
  <c r="K225" i="4" s="1"/>
  <c r="I224" i="4"/>
  <c r="K224" i="4" s="1"/>
  <c r="I223" i="4"/>
  <c r="K223" i="4" s="1"/>
  <c r="N220" i="4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5" i="4"/>
  <c r="J194" i="4"/>
  <c r="I193" i="4"/>
  <c r="P191" i="4"/>
  <c r="L191" i="4"/>
  <c r="O191" i="4" s="1"/>
  <c r="J190" i="4"/>
  <c r="N189" i="4"/>
  <c r="N187" i="4" s="1"/>
  <c r="M189" i="4"/>
  <c r="P189" i="4" s="1"/>
  <c r="L189" i="4"/>
  <c r="O189" i="4" s="1"/>
  <c r="P188" i="4"/>
  <c r="O188" i="4"/>
  <c r="N186" i="4"/>
  <c r="M186" i="4"/>
  <c r="M184" i="4" s="1"/>
  <c r="L186" i="4"/>
  <c r="P185" i="4"/>
  <c r="O185" i="4"/>
  <c r="P182" i="4"/>
  <c r="O182" i="4"/>
  <c r="N182" i="4"/>
  <c r="M182" i="4"/>
  <c r="L182" i="4"/>
  <c r="J177" i="4"/>
  <c r="I176" i="4"/>
  <c r="I174" i="4" s="1"/>
  <c r="I164" i="4" s="1"/>
  <c r="J174" i="4"/>
  <c r="N173" i="4"/>
  <c r="N171" i="4" s="1"/>
  <c r="M173" i="4"/>
  <c r="P173" i="4" s="1"/>
  <c r="L173" i="4"/>
  <c r="L171" i="4" s="1"/>
  <c r="O171" i="4" s="1"/>
  <c r="P172" i="4"/>
  <c r="O172" i="4"/>
  <c r="N170" i="4"/>
  <c r="M170" i="4"/>
  <c r="M168" i="4" s="1"/>
  <c r="L170" i="4"/>
  <c r="P169" i="4"/>
  <c r="O169" i="4"/>
  <c r="P166" i="4"/>
  <c r="O166" i="4"/>
  <c r="N166" i="4"/>
  <c r="M166" i="4"/>
  <c r="L166" i="4"/>
  <c r="I159" i="4"/>
  <c r="I148" i="4" s="1"/>
  <c r="K148" i="4" s="1"/>
  <c r="N157" i="4"/>
  <c r="N155" i="4" s="1"/>
  <c r="M157" i="4"/>
  <c r="P157" i="4" s="1"/>
  <c r="L157" i="4"/>
  <c r="L155" i="4" s="1"/>
  <c r="O155" i="4" s="1"/>
  <c r="P156" i="4"/>
  <c r="O156" i="4"/>
  <c r="N154" i="4"/>
  <c r="M154" i="4"/>
  <c r="M152" i="4" s="1"/>
  <c r="P152" i="4" s="1"/>
  <c r="L154" i="4"/>
  <c r="L152" i="4" s="1"/>
  <c r="O152" i="4" s="1"/>
  <c r="P153" i="4"/>
  <c r="O153" i="4"/>
  <c r="P150" i="4"/>
  <c r="O150" i="4"/>
  <c r="N150" i="4"/>
  <c r="M150" i="4"/>
  <c r="L150" i="4"/>
  <c r="J148" i="4"/>
  <c r="I146" i="4"/>
  <c r="I130" i="4" s="1"/>
  <c r="K130" i="4" s="1"/>
  <c r="I145" i="4"/>
  <c r="K145" i="4" s="1"/>
  <c r="I144" i="4"/>
  <c r="K144" i="4" s="1"/>
  <c r="N140" i="4"/>
  <c r="N138" i="4" s="1"/>
  <c r="M140" i="4"/>
  <c r="L140" i="4"/>
  <c r="O140" i="4" s="1"/>
  <c r="P139" i="4"/>
  <c r="O139" i="4"/>
  <c r="N137" i="4"/>
  <c r="N135" i="4" s="1"/>
  <c r="M137" i="4"/>
  <c r="M135" i="4" s="1"/>
  <c r="P135" i="4" s="1"/>
  <c r="L137" i="4"/>
  <c r="O137" i="4" s="1"/>
  <c r="P136" i="4"/>
  <c r="O136" i="4"/>
  <c r="P133" i="4"/>
  <c r="O133" i="4"/>
  <c r="N133" i="4"/>
  <c r="M133" i="4"/>
  <c r="L133" i="4"/>
  <c r="J130" i="4"/>
  <c r="N127" i="4"/>
  <c r="N125" i="4" s="1"/>
  <c r="M127" i="4"/>
  <c r="P127" i="4" s="1"/>
  <c r="L127" i="4"/>
  <c r="O127" i="4" s="1"/>
  <c r="P126" i="4"/>
  <c r="O126" i="4"/>
  <c r="N124" i="4"/>
  <c r="M124" i="4"/>
  <c r="L124" i="4"/>
  <c r="L122" i="4" s="1"/>
  <c r="O122" i="4" s="1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I87" i="4" s="1"/>
  <c r="K87" i="4" s="1"/>
  <c r="J98" i="4"/>
  <c r="I98" i="4"/>
  <c r="K98" i="4" s="1"/>
  <c r="N96" i="4"/>
  <c r="N94" i="4" s="1"/>
  <c r="M96" i="4"/>
  <c r="M94" i="4" s="1"/>
  <c r="P94" i="4" s="1"/>
  <c r="L96" i="4"/>
  <c r="L94" i="4" s="1"/>
  <c r="O94" i="4" s="1"/>
  <c r="P95" i="4"/>
  <c r="O95" i="4"/>
  <c r="N93" i="4"/>
  <c r="M93" i="4"/>
  <c r="M91" i="4" s="1"/>
  <c r="L93" i="4"/>
  <c r="L91" i="4" s="1"/>
  <c r="P92" i="4"/>
  <c r="O92" i="4"/>
  <c r="P89" i="4"/>
  <c r="O89" i="4"/>
  <c r="N89" i="4"/>
  <c r="M89" i="4"/>
  <c r="L89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J77" i="4"/>
  <c r="J76" i="4"/>
  <c r="N74" i="4"/>
  <c r="N72" i="4" s="1"/>
  <c r="M74" i="4"/>
  <c r="M72" i="4" s="1"/>
  <c r="P72" i="4" s="1"/>
  <c r="L74" i="4"/>
  <c r="L72" i="4" s="1"/>
  <c r="O72" i="4" s="1"/>
  <c r="P73" i="4"/>
  <c r="O73" i="4"/>
  <c r="N71" i="4"/>
  <c r="N69" i="4" s="1"/>
  <c r="M71" i="4"/>
  <c r="M69" i="4" s="1"/>
  <c r="P69" i="4" s="1"/>
  <c r="L71" i="4"/>
  <c r="P70" i="4"/>
  <c r="O70" i="4"/>
  <c r="P67" i="4"/>
  <c r="N67" i="4"/>
  <c r="M67" i="4"/>
  <c r="L67" i="4"/>
  <c r="J65" i="4"/>
  <c r="J64" i="4"/>
  <c r="N61" i="4"/>
  <c r="N59" i="4" s="1"/>
  <c r="M61" i="4"/>
  <c r="M59" i="4" s="1"/>
  <c r="P59" i="4" s="1"/>
  <c r="L61" i="4"/>
  <c r="P60" i="4"/>
  <c r="O60" i="4"/>
  <c r="N58" i="4"/>
  <c r="N56" i="4" s="1"/>
  <c r="M58" i="4"/>
  <c r="M56" i="4" s="1"/>
  <c r="L58" i="4"/>
  <c r="L56" i="4" s="1"/>
  <c r="P57" i="4"/>
  <c r="O57" i="4"/>
  <c r="P54" i="4"/>
  <c r="O54" i="4"/>
  <c r="N54" i="4"/>
  <c r="M54" i="4"/>
  <c r="L54" i="4"/>
  <c r="N49" i="4"/>
  <c r="N47" i="4" s="1"/>
  <c r="M49" i="4"/>
  <c r="P49" i="4" s="1"/>
  <c r="L49" i="4"/>
  <c r="L47" i="4" s="1"/>
  <c r="O47" i="4" s="1"/>
  <c r="P48" i="4"/>
  <c r="O48" i="4"/>
  <c r="N46" i="4"/>
  <c r="M46" i="4"/>
  <c r="L46" i="4"/>
  <c r="L44" i="4" s="1"/>
  <c r="P45" i="4"/>
  <c r="O45" i="4"/>
  <c r="P42" i="4"/>
  <c r="O42" i="4"/>
  <c r="N42" i="4"/>
  <c r="M42" i="4"/>
  <c r="L42" i="4"/>
  <c r="P36" i="4"/>
  <c r="N36" i="4"/>
  <c r="N34" i="4" s="1"/>
  <c r="M36" i="4"/>
  <c r="N35" i="4"/>
  <c r="M35" i="4"/>
  <c r="P35" i="4" s="1"/>
  <c r="L35" i="4"/>
  <c r="P34" i="4"/>
  <c r="M34" i="4"/>
  <c r="N33" i="4"/>
  <c r="P32" i="4"/>
  <c r="N32" i="4"/>
  <c r="M32" i="4"/>
  <c r="L32" i="4"/>
  <c r="O32" i="4" s="1"/>
  <c r="N29" i="4"/>
  <c r="P25" i="4"/>
  <c r="O25" i="4"/>
  <c r="N25" i="4"/>
  <c r="M25" i="4"/>
  <c r="L25" i="4"/>
  <c r="P22" i="4"/>
  <c r="O22" i="4"/>
  <c r="N22" i="4"/>
  <c r="M22" i="4"/>
  <c r="M19" i="4" s="1"/>
  <c r="L22" i="4"/>
  <c r="L19" i="4" s="1"/>
  <c r="O19" i="4"/>
  <c r="N19" i="4"/>
  <c r="N15" i="4"/>
  <c r="M15" i="4"/>
  <c r="N12" i="4"/>
  <c r="N9" i="4" s="1"/>
  <c r="M12" i="4"/>
  <c r="L12" i="4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N805" i="3" s="1"/>
  <c r="P809" i="3"/>
  <c r="O809" i="3"/>
  <c r="P808" i="3"/>
  <c r="O808" i="3"/>
  <c r="N808" i="3"/>
  <c r="M808" i="3"/>
  <c r="L808" i="3"/>
  <c r="O807" i="3"/>
  <c r="M807" i="3"/>
  <c r="L807" i="3"/>
  <c r="P806" i="3"/>
  <c r="N806" i="3"/>
  <c r="M806" i="3"/>
  <c r="L806" i="3"/>
  <c r="O806" i="3" s="1"/>
  <c r="K804" i="3"/>
  <c r="J804" i="3"/>
  <c r="K802" i="3"/>
  <c r="J801" i="3"/>
  <c r="J800" i="3"/>
  <c r="J785" i="3" s="1"/>
  <c r="I800" i="3"/>
  <c r="I785" i="3" s="1"/>
  <c r="K785" i="3" s="1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L791" i="3"/>
  <c r="L789" i="3" s="1"/>
  <c r="O789" i="3" s="1"/>
  <c r="P790" i="3"/>
  <c r="O790" i="3"/>
  <c r="P789" i="3"/>
  <c r="M789" i="3"/>
  <c r="M788" i="3"/>
  <c r="M786" i="3" s="1"/>
  <c r="P786" i="3" s="1"/>
  <c r="P787" i="3"/>
  <c r="N787" i="3"/>
  <c r="N786" i="3" s="1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P774" i="3"/>
  <c r="O774" i="3"/>
  <c r="O773" i="3"/>
  <c r="N773" i="3"/>
  <c r="M773" i="3"/>
  <c r="P773" i="3" s="1"/>
  <c r="L773" i="3"/>
  <c r="P772" i="3"/>
  <c r="N772" i="3"/>
  <c r="M772" i="3"/>
  <c r="L772" i="3"/>
  <c r="P771" i="3"/>
  <c r="O771" i="3"/>
  <c r="N771" i="3"/>
  <c r="M771" i="3"/>
  <c r="L771" i="3"/>
  <c r="P770" i="3"/>
  <c r="N770" i="3"/>
  <c r="M770" i="3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P758" i="3"/>
  <c r="O758" i="3"/>
  <c r="O757" i="3"/>
  <c r="M757" i="3"/>
  <c r="P757" i="3" s="1"/>
  <c r="L757" i="3"/>
  <c r="P756" i="3"/>
  <c r="O756" i="3"/>
  <c r="M756" i="3"/>
  <c r="L756" i="3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P741" i="3"/>
  <c r="O741" i="3"/>
  <c r="O740" i="3"/>
  <c r="N740" i="3"/>
  <c r="M740" i="3"/>
  <c r="P740" i="3" s="1"/>
  <c r="L740" i="3"/>
  <c r="P739" i="3"/>
  <c r="N739" i="3"/>
  <c r="M739" i="3"/>
  <c r="L739" i="3"/>
  <c r="P738" i="3"/>
  <c r="O738" i="3"/>
  <c r="N738" i="3"/>
  <c r="M738" i="3"/>
  <c r="L738" i="3"/>
  <c r="P737" i="3"/>
  <c r="N737" i="3"/>
  <c r="M737" i="3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P690" i="3"/>
  <c r="N690" i="3"/>
  <c r="N687" i="3" s="1"/>
  <c r="L690" i="3"/>
  <c r="L688" i="3" s="1"/>
  <c r="O688" i="3" s="1"/>
  <c r="P688" i="3"/>
  <c r="M688" i="3"/>
  <c r="P687" i="3"/>
  <c r="M687" i="3"/>
  <c r="P686" i="3"/>
  <c r="N686" i="3"/>
  <c r="N685" i="3" s="1"/>
  <c r="M686" i="3"/>
  <c r="L686" i="3"/>
  <c r="O686" i="3" s="1"/>
  <c r="M685" i="3"/>
  <c r="P685" i="3" s="1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K673" i="3" s="1"/>
  <c r="P667" i="3"/>
  <c r="O667" i="3"/>
  <c r="P666" i="3"/>
  <c r="O666" i="3"/>
  <c r="P665" i="3"/>
  <c r="N665" i="3"/>
  <c r="M665" i="3"/>
  <c r="L665" i="3"/>
  <c r="O665" i="3" s="1"/>
  <c r="P660" i="3"/>
  <c r="N660" i="3"/>
  <c r="L660" i="3"/>
  <c r="L658" i="3" s="1"/>
  <c r="O658" i="3" s="1"/>
  <c r="P659" i="3"/>
  <c r="O659" i="3"/>
  <c r="N658" i="3"/>
  <c r="M658" i="3"/>
  <c r="P658" i="3" s="1"/>
  <c r="P657" i="3"/>
  <c r="N657" i="3"/>
  <c r="M657" i="3"/>
  <c r="P656" i="3"/>
  <c r="O656" i="3"/>
  <c r="N656" i="3"/>
  <c r="M656" i="3"/>
  <c r="L656" i="3"/>
  <c r="P655" i="3"/>
  <c r="N655" i="3"/>
  <c r="M655" i="3"/>
  <c r="K652" i="3"/>
  <c r="J652" i="3"/>
  <c r="J651" i="3"/>
  <c r="J628" i="3" s="1"/>
  <c r="I651" i="3"/>
  <c r="I628" i="3" s="1"/>
  <c r="K628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P639" i="3"/>
  <c r="N639" i="3"/>
  <c r="M639" i="3"/>
  <c r="P634" i="3"/>
  <c r="N634" i="3"/>
  <c r="N631" i="3" s="1"/>
  <c r="N629" i="3" s="1"/>
  <c r="L634" i="3"/>
  <c r="L632" i="3" s="1"/>
  <c r="O632" i="3" s="1"/>
  <c r="P633" i="3"/>
  <c r="O633" i="3"/>
  <c r="M632" i="3"/>
  <c r="P632" i="3" s="1"/>
  <c r="P631" i="3"/>
  <c r="M631" i="3"/>
  <c r="O630" i="3"/>
  <c r="N630" i="3"/>
  <c r="M630" i="3"/>
  <c r="P630" i="3" s="1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J592" i="3" s="1"/>
  <c r="I593" i="3"/>
  <c r="I592" i="3" s="1"/>
  <c r="K592" i="3" s="1"/>
  <c r="J583" i="3"/>
  <c r="J582" i="3"/>
  <c r="J576" i="3" s="1"/>
  <c r="J577" i="3"/>
  <c r="I577" i="3"/>
  <c r="K577" i="3" s="1"/>
  <c r="I576" i="3"/>
  <c r="I559" i="3" s="1"/>
  <c r="J569" i="3"/>
  <c r="I569" i="3"/>
  <c r="J568" i="3"/>
  <c r="I568" i="3"/>
  <c r="K568" i="3" s="1"/>
  <c r="J561" i="3"/>
  <c r="I561" i="3"/>
  <c r="K561" i="3" s="1"/>
  <c r="J560" i="3"/>
  <c r="I560" i="3"/>
  <c r="K560" i="3" s="1"/>
  <c r="P557" i="3"/>
  <c r="L557" i="3"/>
  <c r="O557" i="3" s="1"/>
  <c r="P556" i="3"/>
  <c r="O556" i="3"/>
  <c r="P555" i="3"/>
  <c r="N555" i="3"/>
  <c r="M555" i="3"/>
  <c r="N549" i="3"/>
  <c r="L549" i="3"/>
  <c r="P548" i="3"/>
  <c r="O548" i="3"/>
  <c r="O545" i="3"/>
  <c r="N545" i="3"/>
  <c r="M545" i="3"/>
  <c r="L545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I522" i="3" s="1"/>
  <c r="P535" i="3"/>
  <c r="L535" i="3"/>
  <c r="L533" i="3" s="1"/>
  <c r="O533" i="3" s="1"/>
  <c r="P534" i="3"/>
  <c r="O534" i="3"/>
  <c r="P533" i="3"/>
  <c r="N533" i="3"/>
  <c r="M533" i="3"/>
  <c r="N528" i="3"/>
  <c r="L528" i="3"/>
  <c r="L526" i="3" s="1"/>
  <c r="P527" i="3"/>
  <c r="O527" i="3"/>
  <c r="N525" i="3"/>
  <c r="P524" i="3"/>
  <c r="N524" i="3"/>
  <c r="N523" i="3" s="1"/>
  <c r="M524" i="3"/>
  <c r="L524" i="3"/>
  <c r="K517" i="3"/>
  <c r="J517" i="3"/>
  <c r="J501" i="3" s="1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P506" i="3"/>
  <c r="O506" i="3"/>
  <c r="P505" i="3"/>
  <c r="N505" i="3"/>
  <c r="M505" i="3"/>
  <c r="L505" i="3"/>
  <c r="O505" i="3" s="1"/>
  <c r="O504" i="3"/>
  <c r="N504" i="3"/>
  <c r="M504" i="3"/>
  <c r="L504" i="3"/>
  <c r="P503" i="3"/>
  <c r="N503" i="3"/>
  <c r="N502" i="3" s="1"/>
  <c r="M503" i="3"/>
  <c r="L503" i="3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N474" i="3"/>
  <c r="N472" i="3" s="1"/>
  <c r="L472" i="3"/>
  <c r="L470" i="3" s="1"/>
  <c r="P471" i="3"/>
  <c r="O471" i="3"/>
  <c r="P468" i="3"/>
  <c r="N468" i="3"/>
  <c r="M468" i="3"/>
  <c r="L468" i="3"/>
  <c r="J466" i="3"/>
  <c r="I466" i="3"/>
  <c r="K466" i="3" s="1"/>
  <c r="J465" i="3"/>
  <c r="I465" i="3"/>
  <c r="I464" i="3"/>
  <c r="I463" i="3"/>
  <c r="I462" i="3"/>
  <c r="K462" i="3" s="1"/>
  <c r="I460" i="3"/>
  <c r="I442" i="3" s="1"/>
  <c r="K442" i="3" s="1"/>
  <c r="K458" i="3"/>
  <c r="P456" i="3"/>
  <c r="L456" i="3"/>
  <c r="O456" i="3" s="1"/>
  <c r="P455" i="3"/>
  <c r="O455" i="3"/>
  <c r="P454" i="3"/>
  <c r="N454" i="3"/>
  <c r="M454" i="3"/>
  <c r="N449" i="3"/>
  <c r="L449" i="3"/>
  <c r="P448" i="3"/>
  <c r="O448" i="3"/>
  <c r="N447" i="3"/>
  <c r="N446" i="3"/>
  <c r="P445" i="3"/>
  <c r="N445" i="3"/>
  <c r="N444" i="3" s="1"/>
  <c r="M445" i="3"/>
  <c r="L445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I433" i="3" s="1"/>
  <c r="J434" i="3"/>
  <c r="P431" i="3"/>
  <c r="L431" i="3"/>
  <c r="P430" i="3"/>
  <c r="O430" i="3"/>
  <c r="N429" i="3"/>
  <c r="M429" i="3"/>
  <c r="P429" i="3" s="1"/>
  <c r="N424" i="3"/>
  <c r="N422" i="3" s="1"/>
  <c r="L424" i="3"/>
  <c r="P423" i="3"/>
  <c r="O423" i="3"/>
  <c r="N421" i="3"/>
  <c r="N419" i="3" s="1"/>
  <c r="O420" i="3"/>
  <c r="N420" i="3"/>
  <c r="M420" i="3"/>
  <c r="L420" i="3"/>
  <c r="J418" i="3"/>
  <c r="K413" i="3"/>
  <c r="K412" i="3"/>
  <c r="N410" i="3"/>
  <c r="N408" i="3" s="1"/>
  <c r="M410" i="3"/>
  <c r="M408" i="3" s="1"/>
  <c r="P408" i="3" s="1"/>
  <c r="L410" i="3"/>
  <c r="P409" i="3"/>
  <c r="O409" i="3"/>
  <c r="N407" i="3"/>
  <c r="M407" i="3"/>
  <c r="P407" i="3" s="1"/>
  <c r="L407" i="3"/>
  <c r="P406" i="3"/>
  <c r="O406" i="3"/>
  <c r="O403" i="3"/>
  <c r="N403" i="3"/>
  <c r="M403" i="3"/>
  <c r="L403" i="3"/>
  <c r="K401" i="3"/>
  <c r="J401" i="3"/>
  <c r="I401" i="3"/>
  <c r="K400" i="3"/>
  <c r="K399" i="3"/>
  <c r="N397" i="3"/>
  <c r="N395" i="3" s="1"/>
  <c r="M397" i="3"/>
  <c r="M395" i="3" s="1"/>
  <c r="P395" i="3" s="1"/>
  <c r="L397" i="3"/>
  <c r="P396" i="3"/>
  <c r="O396" i="3"/>
  <c r="N394" i="3"/>
  <c r="N392" i="3" s="1"/>
  <c r="M394" i="3"/>
  <c r="M392" i="3" s="1"/>
  <c r="P392" i="3" s="1"/>
  <c r="L394" i="3"/>
  <c r="P393" i="3"/>
  <c r="O393" i="3"/>
  <c r="O390" i="3"/>
  <c r="N390" i="3"/>
  <c r="M390" i="3"/>
  <c r="L390" i="3"/>
  <c r="K388" i="3"/>
  <c r="J388" i="3"/>
  <c r="I388" i="3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M351" i="3" s="1"/>
  <c r="L353" i="3"/>
  <c r="P352" i="3"/>
  <c r="O352" i="3"/>
  <c r="N350" i="3"/>
  <c r="M350" i="3"/>
  <c r="L350" i="3"/>
  <c r="L348" i="3" s="1"/>
  <c r="P349" i="3"/>
  <c r="O349" i="3"/>
  <c r="P346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M334" i="3" s="1"/>
  <c r="P334" i="3" s="1"/>
  <c r="L336" i="3"/>
  <c r="P335" i="3"/>
  <c r="O335" i="3"/>
  <c r="N333" i="3"/>
  <c r="M333" i="3"/>
  <c r="M331" i="3" s="1"/>
  <c r="L333" i="3"/>
  <c r="L331" i="3" s="1"/>
  <c r="P332" i="3"/>
  <c r="O332" i="3"/>
  <c r="P329" i="3"/>
  <c r="O329" i="3"/>
  <c r="N329" i="3"/>
  <c r="M329" i="3"/>
  <c r="L329" i="3"/>
  <c r="I327" i="3"/>
  <c r="I325" i="3"/>
  <c r="I314" i="3" s="1"/>
  <c r="K314" i="3" s="1"/>
  <c r="N323" i="3"/>
  <c r="N321" i="3" s="1"/>
  <c r="M323" i="3"/>
  <c r="P323" i="3" s="1"/>
  <c r="L323" i="3"/>
  <c r="L321" i="3" s="1"/>
  <c r="O321" i="3" s="1"/>
  <c r="P322" i="3"/>
  <c r="O322" i="3"/>
  <c r="N320" i="3"/>
  <c r="M320" i="3"/>
  <c r="M318" i="3" s="1"/>
  <c r="L320" i="3"/>
  <c r="P319" i="3"/>
  <c r="O319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I297" i="3" s="1"/>
  <c r="N306" i="3"/>
  <c r="N304" i="3" s="1"/>
  <c r="M306" i="3"/>
  <c r="M304" i="3" s="1"/>
  <c r="P304" i="3" s="1"/>
  <c r="L306" i="3"/>
  <c r="P305" i="3"/>
  <c r="O305" i="3"/>
  <c r="N303" i="3"/>
  <c r="M303" i="3"/>
  <c r="M301" i="3" s="1"/>
  <c r="L303" i="3"/>
  <c r="P302" i="3"/>
  <c r="O302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M283" i="3" s="1"/>
  <c r="P283" i="3" s="1"/>
  <c r="L285" i="3"/>
  <c r="L283" i="3" s="1"/>
  <c r="O283" i="3" s="1"/>
  <c r="P284" i="3"/>
  <c r="O284" i="3"/>
  <c r="N282" i="3"/>
  <c r="N280" i="3" s="1"/>
  <c r="M282" i="3"/>
  <c r="L282" i="3"/>
  <c r="L280" i="3" s="1"/>
  <c r="P281" i="3"/>
  <c r="O281" i="3"/>
  <c r="P278" i="3"/>
  <c r="N278" i="3"/>
  <c r="M278" i="3"/>
  <c r="L278" i="3"/>
  <c r="J276" i="3"/>
  <c r="I271" i="3"/>
  <c r="I260" i="3" s="1"/>
  <c r="N269" i="3"/>
  <c r="N267" i="3" s="1"/>
  <c r="M269" i="3"/>
  <c r="M267" i="3" s="1"/>
  <c r="P267" i="3" s="1"/>
  <c r="L269" i="3"/>
  <c r="L267" i="3" s="1"/>
  <c r="O267" i="3" s="1"/>
  <c r="P268" i="3"/>
  <c r="O268" i="3"/>
  <c r="N266" i="3"/>
  <c r="M266" i="3"/>
  <c r="M264" i="3" s="1"/>
  <c r="L266" i="3"/>
  <c r="P265" i="3"/>
  <c r="O265" i="3"/>
  <c r="O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K244" i="3" s="1"/>
  <c r="L242" i="3"/>
  <c r="L241" i="3"/>
  <c r="L240" i="3"/>
  <c r="L239" i="3"/>
  <c r="P238" i="3"/>
  <c r="N238" i="3"/>
  <c r="J237" i="3"/>
  <c r="J226" i="3" s="1"/>
  <c r="K236" i="3"/>
  <c r="J236" i="3"/>
  <c r="I236" i="3"/>
  <c r="J235" i="3"/>
  <c r="I235" i="3"/>
  <c r="K235" i="3" s="1"/>
  <c r="J233" i="3"/>
  <c r="N231" i="3"/>
  <c r="N230" i="3"/>
  <c r="N229" i="3"/>
  <c r="N228" i="3"/>
  <c r="N227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I190" i="3" s="1"/>
  <c r="P191" i="3"/>
  <c r="L191" i="3"/>
  <c r="O191" i="3" s="1"/>
  <c r="J190" i="3"/>
  <c r="N189" i="3"/>
  <c r="N187" i="3" s="1"/>
  <c r="M189" i="3"/>
  <c r="P189" i="3" s="1"/>
  <c r="L189" i="3"/>
  <c r="L187" i="3" s="1"/>
  <c r="O187" i="3" s="1"/>
  <c r="P188" i="3"/>
  <c r="O188" i="3"/>
  <c r="N186" i="3"/>
  <c r="N184" i="3" s="1"/>
  <c r="M186" i="3"/>
  <c r="M184" i="3" s="1"/>
  <c r="L186" i="3"/>
  <c r="L184" i="3" s="1"/>
  <c r="P185" i="3"/>
  <c r="O185" i="3"/>
  <c r="O182" i="3"/>
  <c r="N182" i="3"/>
  <c r="M182" i="3"/>
  <c r="L182" i="3"/>
  <c r="J180" i="3"/>
  <c r="J177" i="3"/>
  <c r="I176" i="3"/>
  <c r="J174" i="3"/>
  <c r="N173" i="3"/>
  <c r="N171" i="3" s="1"/>
  <c r="M173" i="3"/>
  <c r="P173" i="3" s="1"/>
  <c r="L173" i="3"/>
  <c r="L171" i="3" s="1"/>
  <c r="O171" i="3" s="1"/>
  <c r="P172" i="3"/>
  <c r="O172" i="3"/>
  <c r="N170" i="3"/>
  <c r="N168" i="3" s="1"/>
  <c r="M170" i="3"/>
  <c r="P170" i="3" s="1"/>
  <c r="L170" i="3"/>
  <c r="L168" i="3" s="1"/>
  <c r="O168" i="3" s="1"/>
  <c r="P169" i="3"/>
  <c r="O169" i="3"/>
  <c r="O166" i="3"/>
  <c r="N166" i="3"/>
  <c r="M166" i="3"/>
  <c r="L166" i="3"/>
  <c r="J164" i="3"/>
  <c r="I159" i="3"/>
  <c r="I148" i="3" s="1"/>
  <c r="K148" i="3" s="1"/>
  <c r="N157" i="3"/>
  <c r="N155" i="3" s="1"/>
  <c r="M157" i="3"/>
  <c r="M155" i="3" s="1"/>
  <c r="P155" i="3" s="1"/>
  <c r="L157" i="3"/>
  <c r="P156" i="3"/>
  <c r="O156" i="3"/>
  <c r="N154" i="3"/>
  <c r="M154" i="3"/>
  <c r="M152" i="3" s="1"/>
  <c r="L154" i="3"/>
  <c r="L152" i="3" s="1"/>
  <c r="P153" i="3"/>
  <c r="O153" i="3"/>
  <c r="O150" i="3"/>
  <c r="N150" i="3"/>
  <c r="M150" i="3"/>
  <c r="L150" i="3"/>
  <c r="J148" i="3"/>
  <c r="I146" i="3"/>
  <c r="I130" i="3" s="1"/>
  <c r="K130" i="3" s="1"/>
  <c r="I145" i="3"/>
  <c r="I143" i="3" s="1"/>
  <c r="I144" i="3"/>
  <c r="N140" i="3"/>
  <c r="N138" i="3" s="1"/>
  <c r="M140" i="3"/>
  <c r="M138" i="3" s="1"/>
  <c r="L140" i="3"/>
  <c r="P139" i="3"/>
  <c r="O139" i="3"/>
  <c r="N137" i="3"/>
  <c r="M137" i="3"/>
  <c r="M135" i="3" s="1"/>
  <c r="L137" i="3"/>
  <c r="P136" i="3"/>
  <c r="O136" i="3"/>
  <c r="O133" i="3"/>
  <c r="N133" i="3"/>
  <c r="M133" i="3"/>
  <c r="P133" i="3" s="1"/>
  <c r="L133" i="3"/>
  <c r="J130" i="3"/>
  <c r="N127" i="3"/>
  <c r="N125" i="3" s="1"/>
  <c r="M127" i="3"/>
  <c r="P127" i="3" s="1"/>
  <c r="L127" i="3"/>
  <c r="L125" i="3" s="1"/>
  <c r="O125" i="3" s="1"/>
  <c r="P126" i="3"/>
  <c r="O126" i="3"/>
  <c r="N124" i="3"/>
  <c r="N122" i="3" s="1"/>
  <c r="M124" i="3"/>
  <c r="M122" i="3" s="1"/>
  <c r="P122" i="3" s="1"/>
  <c r="L124" i="3"/>
  <c r="P123" i="3"/>
  <c r="O123" i="3"/>
  <c r="N120" i="3"/>
  <c r="M120" i="3"/>
  <c r="P120" i="3" s="1"/>
  <c r="L120" i="3"/>
  <c r="J118" i="3"/>
  <c r="K118" i="3" s="1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J87" i="3" s="1"/>
  <c r="I99" i="3"/>
  <c r="K99" i="3" s="1"/>
  <c r="J98" i="3"/>
  <c r="I98" i="3"/>
  <c r="I86" i="3" s="1"/>
  <c r="K86" i="3" s="1"/>
  <c r="N96" i="3"/>
  <c r="N94" i="3" s="1"/>
  <c r="M96" i="3"/>
  <c r="L96" i="3"/>
  <c r="L94" i="3" s="1"/>
  <c r="O94" i="3" s="1"/>
  <c r="P95" i="3"/>
  <c r="O95" i="3"/>
  <c r="N93" i="3"/>
  <c r="N91" i="3" s="1"/>
  <c r="M93" i="3"/>
  <c r="M91" i="3" s="1"/>
  <c r="L93" i="3"/>
  <c r="L91" i="3" s="1"/>
  <c r="P92" i="3"/>
  <c r="O92" i="3"/>
  <c r="P89" i="3"/>
  <c r="O89" i="3"/>
  <c r="N89" i="3"/>
  <c r="M89" i="3"/>
  <c r="L89" i="3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K79" i="3" s="1"/>
  <c r="I78" i="3"/>
  <c r="J77" i="3"/>
  <c r="J76" i="3"/>
  <c r="J64" i="3" s="1"/>
  <c r="N74" i="3"/>
  <c r="M74" i="3"/>
  <c r="P74" i="3" s="1"/>
  <c r="L74" i="3"/>
  <c r="O74" i="3" s="1"/>
  <c r="P73" i="3"/>
  <c r="O73" i="3"/>
  <c r="N71" i="3"/>
  <c r="N69" i="3" s="1"/>
  <c r="M71" i="3"/>
  <c r="M69" i="3" s="1"/>
  <c r="L71" i="3"/>
  <c r="P70" i="3"/>
  <c r="O70" i="3"/>
  <c r="P67" i="3"/>
  <c r="N67" i="3"/>
  <c r="M67" i="3"/>
  <c r="L67" i="3"/>
  <c r="O67" i="3" s="1"/>
  <c r="J65" i="3"/>
  <c r="N61" i="3"/>
  <c r="M61" i="3"/>
  <c r="M59" i="3" s="1"/>
  <c r="L61" i="3"/>
  <c r="P60" i="3"/>
  <c r="O60" i="3"/>
  <c r="N58" i="3"/>
  <c r="N56" i="3" s="1"/>
  <c r="M58" i="3"/>
  <c r="L58" i="3"/>
  <c r="L56" i="3" s="1"/>
  <c r="P57" i="3"/>
  <c r="O57" i="3"/>
  <c r="P54" i="3"/>
  <c r="N54" i="3"/>
  <c r="M54" i="3"/>
  <c r="L54" i="3"/>
  <c r="O54" i="3" s="1"/>
  <c r="N49" i="3"/>
  <c r="N47" i="3" s="1"/>
  <c r="M49" i="3"/>
  <c r="M47" i="3" s="1"/>
  <c r="P47" i="3" s="1"/>
  <c r="L49" i="3"/>
  <c r="O49" i="3" s="1"/>
  <c r="P48" i="3"/>
  <c r="O48" i="3"/>
  <c r="N46" i="3"/>
  <c r="M46" i="3"/>
  <c r="M44" i="3" s="1"/>
  <c r="L46" i="3"/>
  <c r="P45" i="3"/>
  <c r="O45" i="3"/>
  <c r="O42" i="3"/>
  <c r="N42" i="3"/>
  <c r="M42" i="3"/>
  <c r="P42" i="3" s="1"/>
  <c r="L42" i="3"/>
  <c r="P36" i="3"/>
  <c r="N36" i="3"/>
  <c r="N34" i="3" s="1"/>
  <c r="M36" i="3"/>
  <c r="P35" i="3"/>
  <c r="N35" i="3"/>
  <c r="N29" i="3" s="1"/>
  <c r="M35" i="3"/>
  <c r="L35" i="3"/>
  <c r="O35" i="3" s="1"/>
  <c r="P34" i="3"/>
  <c r="M34" i="3"/>
  <c r="N33" i="3"/>
  <c r="P32" i="3"/>
  <c r="O32" i="3"/>
  <c r="N32" i="3"/>
  <c r="N12" i="3" s="1"/>
  <c r="M32" i="3"/>
  <c r="M29" i="3" s="1"/>
  <c r="L32" i="3"/>
  <c r="P25" i="3"/>
  <c r="N25" i="3"/>
  <c r="M25" i="3"/>
  <c r="L25" i="3"/>
  <c r="O25" i="3" s="1"/>
  <c r="O22" i="3"/>
  <c r="N22" i="3"/>
  <c r="M22" i="3"/>
  <c r="P22" i="3" s="1"/>
  <c r="L22" i="3"/>
  <c r="N19" i="3"/>
  <c r="L19" i="3"/>
  <c r="O19" i="3" s="1"/>
  <c r="M15" i="3"/>
  <c r="L12" i="3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P809" i="2"/>
  <c r="O809" i="2"/>
  <c r="P808" i="2"/>
  <c r="O808" i="2"/>
  <c r="M808" i="2"/>
  <c r="L808" i="2"/>
  <c r="P807" i="2"/>
  <c r="O807" i="2"/>
  <c r="M807" i="2"/>
  <c r="L807" i="2"/>
  <c r="N806" i="2"/>
  <c r="M806" i="2"/>
  <c r="L806" i="2"/>
  <c r="K804" i="2"/>
  <c r="J804" i="2"/>
  <c r="K802" i="2"/>
  <c r="J801" i="2"/>
  <c r="J800" i="2"/>
  <c r="J785" i="2" s="1"/>
  <c r="I800" i="2"/>
  <c r="K800" i="2" s="1"/>
  <c r="P798" i="2"/>
  <c r="O798" i="2"/>
  <c r="P797" i="2"/>
  <c r="O797" i="2"/>
  <c r="O796" i="2"/>
  <c r="N796" i="2"/>
  <c r="M796" i="2"/>
  <c r="P796" i="2" s="1"/>
  <c r="L796" i="2"/>
  <c r="P791" i="2"/>
  <c r="N791" i="2"/>
  <c r="L791" i="2"/>
  <c r="L789" i="2" s="1"/>
  <c r="O789" i="2" s="1"/>
  <c r="P790" i="2"/>
  <c r="O790" i="2"/>
  <c r="M789" i="2"/>
  <c r="P789" i="2" s="1"/>
  <c r="M788" i="2"/>
  <c r="P788" i="2" s="1"/>
  <c r="N787" i="2"/>
  <c r="M787" i="2"/>
  <c r="P787" i="2" s="1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P774" i="2"/>
  <c r="O774" i="2"/>
  <c r="O773" i="2"/>
  <c r="N773" i="2"/>
  <c r="M773" i="2"/>
  <c r="P773" i="2" s="1"/>
  <c r="L773" i="2"/>
  <c r="P772" i="2"/>
  <c r="N772" i="2"/>
  <c r="N770" i="2" s="1"/>
  <c r="M772" i="2"/>
  <c r="L772" i="2"/>
  <c r="O772" i="2" s="1"/>
  <c r="P771" i="2"/>
  <c r="N771" i="2"/>
  <c r="M771" i="2"/>
  <c r="L771" i="2"/>
  <c r="P770" i="2"/>
  <c r="M770" i="2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N756" i="2" s="1"/>
  <c r="N754" i="2" s="1"/>
  <c r="P758" i="2"/>
  <c r="O758" i="2"/>
  <c r="O757" i="2"/>
  <c r="N757" i="2"/>
  <c r="M757" i="2"/>
  <c r="P757" i="2" s="1"/>
  <c r="L757" i="2"/>
  <c r="P756" i="2"/>
  <c r="O756" i="2"/>
  <c r="M756" i="2"/>
  <c r="L756" i="2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P741" i="2"/>
  <c r="O741" i="2"/>
  <c r="O740" i="2"/>
  <c r="N740" i="2"/>
  <c r="M740" i="2"/>
  <c r="P740" i="2" s="1"/>
  <c r="L740" i="2"/>
  <c r="O739" i="2"/>
  <c r="N739" i="2"/>
  <c r="M739" i="2"/>
  <c r="P739" i="2" s="1"/>
  <c r="L739" i="2"/>
  <c r="P738" i="2"/>
  <c r="N738" i="2"/>
  <c r="M738" i="2"/>
  <c r="L738" i="2"/>
  <c r="P737" i="2"/>
  <c r="N737" i="2"/>
  <c r="M737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N695" i="2"/>
  <c r="M695" i="2"/>
  <c r="P695" i="2" s="1"/>
  <c r="L695" i="2"/>
  <c r="O695" i="2" s="1"/>
  <c r="P690" i="2"/>
  <c r="N690" i="2"/>
  <c r="N687" i="2" s="1"/>
  <c r="L690" i="2"/>
  <c r="O690" i="2" s="1"/>
  <c r="P688" i="2"/>
  <c r="N688" i="2"/>
  <c r="M688" i="2"/>
  <c r="P687" i="2"/>
  <c r="M687" i="2"/>
  <c r="P686" i="2"/>
  <c r="N686" i="2"/>
  <c r="N685" i="2" s="1"/>
  <c r="M686" i="2"/>
  <c r="L686" i="2"/>
  <c r="O686" i="2" s="1"/>
  <c r="M685" i="2"/>
  <c r="P685" i="2" s="1"/>
  <c r="J679" i="2"/>
  <c r="J678" i="2" s="1"/>
  <c r="I678" i="2"/>
  <c r="K678" i="2" s="1"/>
  <c r="J675" i="2"/>
  <c r="I671" i="2"/>
  <c r="K671" i="2" s="1"/>
  <c r="I670" i="2"/>
  <c r="K670" i="2" s="1"/>
  <c r="J669" i="2"/>
  <c r="J654" i="2" s="1"/>
  <c r="I669" i="2"/>
  <c r="K675" i="2" s="1"/>
  <c r="P667" i="2"/>
  <c r="O667" i="2"/>
  <c r="P666" i="2"/>
  <c r="O666" i="2"/>
  <c r="O665" i="2"/>
  <c r="N665" i="2"/>
  <c r="M665" i="2"/>
  <c r="P665" i="2" s="1"/>
  <c r="L665" i="2"/>
  <c r="P660" i="2"/>
  <c r="N660" i="2"/>
  <c r="N658" i="2" s="1"/>
  <c r="L660" i="2"/>
  <c r="L658" i="2" s="1"/>
  <c r="O658" i="2" s="1"/>
  <c r="P659" i="2"/>
  <c r="O659" i="2"/>
  <c r="M658" i="2"/>
  <c r="P658" i="2" s="1"/>
  <c r="N657" i="2"/>
  <c r="M657" i="2"/>
  <c r="P657" i="2" s="1"/>
  <c r="P656" i="2"/>
  <c r="N656" i="2"/>
  <c r="M656" i="2"/>
  <c r="L656" i="2"/>
  <c r="P655" i="2"/>
  <c r="N655" i="2"/>
  <c r="M655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L639" i="2" s="1"/>
  <c r="O639" i="2" s="1"/>
  <c r="P640" i="2"/>
  <c r="O640" i="2"/>
  <c r="N639" i="2"/>
  <c r="M639" i="2"/>
  <c r="P639" i="2" s="1"/>
  <c r="N634" i="2"/>
  <c r="L634" i="2"/>
  <c r="M634" i="2" s="1"/>
  <c r="P633" i="2"/>
  <c r="O633" i="2"/>
  <c r="N632" i="2"/>
  <c r="N631" i="2"/>
  <c r="P630" i="2"/>
  <c r="O630" i="2"/>
  <c r="N630" i="2"/>
  <c r="N629" i="2" s="1"/>
  <c r="M630" i="2"/>
  <c r="L630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3" i="2" s="1"/>
  <c r="J592" i="2" s="1"/>
  <c r="J596" i="2"/>
  <c r="J595" i="2"/>
  <c r="J594" i="2"/>
  <c r="I594" i="2"/>
  <c r="I593" i="2"/>
  <c r="K593" i="2" s="1"/>
  <c r="J583" i="2"/>
  <c r="J577" i="2" s="1"/>
  <c r="J582" i="2"/>
  <c r="I577" i="2"/>
  <c r="K577" i="2" s="1"/>
  <c r="J576" i="2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J559" i="2"/>
  <c r="P557" i="2"/>
  <c r="L557" i="2"/>
  <c r="O557" i="2" s="1"/>
  <c r="P556" i="2"/>
  <c r="O556" i="2"/>
  <c r="N555" i="2"/>
  <c r="M555" i="2"/>
  <c r="N549" i="2"/>
  <c r="L549" i="2"/>
  <c r="P548" i="2"/>
  <c r="O548" i="2"/>
  <c r="N547" i="2"/>
  <c r="N546" i="2"/>
  <c r="O545" i="2"/>
  <c r="N545" i="2"/>
  <c r="N544" i="2" s="1"/>
  <c r="L545" i="2"/>
  <c r="J543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L533" i="2" s="1"/>
  <c r="O533" i="2" s="1"/>
  <c r="P534" i="2"/>
  <c r="O534" i="2"/>
  <c r="N533" i="2"/>
  <c r="M533" i="2"/>
  <c r="P533" i="2" s="1"/>
  <c r="N528" i="2"/>
  <c r="N525" i="2" s="1"/>
  <c r="L528" i="2"/>
  <c r="O528" i="2" s="1"/>
  <c r="P527" i="2"/>
  <c r="O527" i="2"/>
  <c r="N526" i="2"/>
  <c r="O524" i="2"/>
  <c r="N524" i="2"/>
  <c r="N523" i="2" s="1"/>
  <c r="M524" i="2"/>
  <c r="P524" i="2" s="1"/>
  <c r="L524" i="2"/>
  <c r="K517" i="2"/>
  <c r="J517" i="2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M505" i="2"/>
  <c r="P505" i="2" s="1"/>
  <c r="L505" i="2"/>
  <c r="O505" i="2" s="1"/>
  <c r="P504" i="2"/>
  <c r="O504" i="2"/>
  <c r="M504" i="2"/>
  <c r="L504" i="2"/>
  <c r="O503" i="2"/>
  <c r="N503" i="2"/>
  <c r="M503" i="2"/>
  <c r="P503" i="2" s="1"/>
  <c r="L503" i="2"/>
  <c r="M502" i="2"/>
  <c r="P502" i="2" s="1"/>
  <c r="L502" i="2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2" i="2"/>
  <c r="L472" i="2"/>
  <c r="L470" i="2" s="1"/>
  <c r="P471" i="2"/>
  <c r="O471" i="2"/>
  <c r="P468" i="2"/>
  <c r="N468" i="2"/>
  <c r="M468" i="2"/>
  <c r="L468" i="2"/>
  <c r="J466" i="2"/>
  <c r="I466" i="2"/>
  <c r="K466" i="2" s="1"/>
  <c r="J465" i="2"/>
  <c r="I465" i="2"/>
  <c r="K465" i="2" s="1"/>
  <c r="I464" i="2"/>
  <c r="I463" i="2"/>
  <c r="I462" i="2"/>
  <c r="K462" i="2" s="1"/>
  <c r="I460" i="2"/>
  <c r="K458" i="2"/>
  <c r="P456" i="2"/>
  <c r="L456" i="2"/>
  <c r="P455" i="2"/>
  <c r="O455" i="2"/>
  <c r="P454" i="2"/>
  <c r="N454" i="2"/>
  <c r="M454" i="2"/>
  <c r="P449" i="2"/>
  <c r="N449" i="2"/>
  <c r="L449" i="2"/>
  <c r="P448" i="2"/>
  <c r="O448" i="2"/>
  <c r="N447" i="2"/>
  <c r="M447" i="2"/>
  <c r="P447" i="2" s="1"/>
  <c r="P446" i="2"/>
  <c r="N446" i="2"/>
  <c r="N444" i="2" s="1"/>
  <c r="M446" i="2"/>
  <c r="O445" i="2"/>
  <c r="N445" i="2"/>
  <c r="M445" i="2"/>
  <c r="M444" i="2" s="1"/>
  <c r="P444" i="2" s="1"/>
  <c r="L445" i="2"/>
  <c r="J443" i="2"/>
  <c r="J442" i="2"/>
  <c r="I441" i="2"/>
  <c r="K441" i="2" s="1"/>
  <c r="I440" i="2"/>
  <c r="I439" i="2"/>
  <c r="K439" i="2" s="1"/>
  <c r="I438" i="2"/>
  <c r="K438" i="2" s="1"/>
  <c r="I437" i="2"/>
  <c r="K437" i="2" s="1"/>
  <c r="I435" i="2"/>
  <c r="J434" i="2"/>
  <c r="P431" i="2"/>
  <c r="L431" i="2"/>
  <c r="L429" i="2" s="1"/>
  <c r="O429" i="2" s="1"/>
  <c r="P430" i="2"/>
  <c r="O430" i="2"/>
  <c r="N429" i="2"/>
  <c r="M429" i="2"/>
  <c r="P429" i="2" s="1"/>
  <c r="N424" i="2"/>
  <c r="N421" i="2" s="1"/>
  <c r="N419" i="2" s="1"/>
  <c r="L424" i="2"/>
  <c r="P423" i="2"/>
  <c r="O423" i="2"/>
  <c r="N422" i="2"/>
  <c r="N420" i="2"/>
  <c r="M420" i="2"/>
  <c r="L420" i="2"/>
  <c r="J418" i="2"/>
  <c r="K413" i="2"/>
  <c r="K412" i="2"/>
  <c r="N410" i="2"/>
  <c r="N408" i="2" s="1"/>
  <c r="M410" i="2"/>
  <c r="M408" i="2" s="1"/>
  <c r="L410" i="2"/>
  <c r="P409" i="2"/>
  <c r="O409" i="2"/>
  <c r="N407" i="2"/>
  <c r="N405" i="2" s="1"/>
  <c r="M407" i="2"/>
  <c r="P407" i="2" s="1"/>
  <c r="L407" i="2"/>
  <c r="O407" i="2" s="1"/>
  <c r="P406" i="2"/>
  <c r="O406" i="2"/>
  <c r="P403" i="2"/>
  <c r="N403" i="2"/>
  <c r="M403" i="2"/>
  <c r="L403" i="2"/>
  <c r="O403" i="2" s="1"/>
  <c r="K401" i="2"/>
  <c r="J401" i="2"/>
  <c r="I401" i="2"/>
  <c r="K400" i="2"/>
  <c r="K399" i="2"/>
  <c r="N397" i="2"/>
  <c r="N395" i="2" s="1"/>
  <c r="M397" i="2"/>
  <c r="M395" i="2" s="1"/>
  <c r="L397" i="2"/>
  <c r="P396" i="2"/>
  <c r="O396" i="2"/>
  <c r="N394" i="2"/>
  <c r="N392" i="2" s="1"/>
  <c r="M394" i="2"/>
  <c r="P394" i="2" s="1"/>
  <c r="L394" i="2"/>
  <c r="P393" i="2"/>
  <c r="O393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L351" i="2" s="1"/>
  <c r="P352" i="2"/>
  <c r="O352" i="2"/>
  <c r="N350" i="2"/>
  <c r="M350" i="2"/>
  <c r="M348" i="2" s="1"/>
  <c r="L350" i="2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L336" i="2"/>
  <c r="O336" i="2" s="1"/>
  <c r="P335" i="2"/>
  <c r="O335" i="2"/>
  <c r="N333" i="2"/>
  <c r="N331" i="2" s="1"/>
  <c r="M333" i="2"/>
  <c r="M331" i="2" s="1"/>
  <c r="L333" i="2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M321" i="2" s="1"/>
  <c r="L323" i="2"/>
  <c r="L321" i="2" s="1"/>
  <c r="P322" i="2"/>
  <c r="O322" i="2"/>
  <c r="N320" i="2"/>
  <c r="M320" i="2"/>
  <c r="L320" i="2"/>
  <c r="L318" i="2" s="1"/>
  <c r="P319" i="2"/>
  <c r="O319" i="2"/>
  <c r="P316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M304" i="2" s="1"/>
  <c r="P304" i="2" s="1"/>
  <c r="L306" i="2"/>
  <c r="P305" i="2"/>
  <c r="O305" i="2"/>
  <c r="N303" i="2"/>
  <c r="M303" i="2"/>
  <c r="P303" i="2" s="1"/>
  <c r="L303" i="2"/>
  <c r="L301" i="2" s="1"/>
  <c r="O301" i="2" s="1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P285" i="2" s="1"/>
  <c r="L285" i="2"/>
  <c r="L283" i="2" s="1"/>
  <c r="O283" i="2" s="1"/>
  <c r="P284" i="2"/>
  <c r="O284" i="2"/>
  <c r="N282" i="2"/>
  <c r="M282" i="2"/>
  <c r="M280" i="2" s="1"/>
  <c r="L282" i="2"/>
  <c r="P281" i="2"/>
  <c r="O281" i="2"/>
  <c r="O278" i="2"/>
  <c r="N278" i="2"/>
  <c r="M278" i="2"/>
  <c r="P278" i="2" s="1"/>
  <c r="L278" i="2"/>
  <c r="J276" i="2"/>
  <c r="I271" i="2"/>
  <c r="K271" i="2" s="1"/>
  <c r="N269" i="2"/>
  <c r="N267" i="2" s="1"/>
  <c r="M269" i="2"/>
  <c r="L269" i="2"/>
  <c r="P268" i="2"/>
  <c r="O268" i="2"/>
  <c r="N266" i="2"/>
  <c r="M266" i="2"/>
  <c r="L266" i="2"/>
  <c r="L264" i="2" s="1"/>
  <c r="P265" i="2"/>
  <c r="O265" i="2"/>
  <c r="O262" i="2"/>
  <c r="N262" i="2"/>
  <c r="M262" i="2"/>
  <c r="P262" i="2" s="1"/>
  <c r="L262" i="2"/>
  <c r="J260" i="2"/>
  <c r="I260" i="2"/>
  <c r="K260" i="2" s="1"/>
  <c r="K258" i="2"/>
  <c r="K257" i="2"/>
  <c r="I255" i="2"/>
  <c r="K255" i="2" s="1"/>
  <c r="L253" i="2"/>
  <c r="L252" i="2"/>
  <c r="L251" i="2"/>
  <c r="L250" i="2"/>
  <c r="P249" i="2"/>
  <c r="N249" i="2"/>
  <c r="J248" i="2"/>
  <c r="J226" i="2" s="1"/>
  <c r="J180" i="2" s="1"/>
  <c r="K247" i="2"/>
  <c r="K246" i="2"/>
  <c r="I244" i="2"/>
  <c r="I237" i="2" s="1"/>
  <c r="L242" i="2"/>
  <c r="L241" i="2"/>
  <c r="L240" i="2"/>
  <c r="L239" i="2"/>
  <c r="P238" i="2"/>
  <c r="N238" i="2"/>
  <c r="J237" i="2"/>
  <c r="J236" i="2"/>
  <c r="I236" i="2"/>
  <c r="K236" i="2" s="1"/>
  <c r="K235" i="2"/>
  <c r="J235" i="2"/>
  <c r="I235" i="2"/>
  <c r="J233" i="2"/>
  <c r="N231" i="2"/>
  <c r="N230" i="2"/>
  <c r="N229" i="2"/>
  <c r="N228" i="2"/>
  <c r="N227" i="2"/>
  <c r="I225" i="2"/>
  <c r="K225" i="2" s="1"/>
  <c r="I224" i="2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I190" i="2" s="1"/>
  <c r="K190" i="2" s="1"/>
  <c r="P191" i="2"/>
  <c r="L191" i="2"/>
  <c r="O191" i="2" s="1"/>
  <c r="J190" i="2"/>
  <c r="N189" i="2"/>
  <c r="N187" i="2" s="1"/>
  <c r="M189" i="2"/>
  <c r="L189" i="2"/>
  <c r="O189" i="2" s="1"/>
  <c r="P188" i="2"/>
  <c r="O188" i="2"/>
  <c r="N186" i="2"/>
  <c r="N184" i="2" s="1"/>
  <c r="M186" i="2"/>
  <c r="M184" i="2" s="1"/>
  <c r="L186" i="2"/>
  <c r="P185" i="2"/>
  <c r="O185" i="2"/>
  <c r="P182" i="2"/>
  <c r="O182" i="2"/>
  <c r="N182" i="2"/>
  <c r="M182" i="2"/>
  <c r="L182" i="2"/>
  <c r="J177" i="2"/>
  <c r="I176" i="2"/>
  <c r="K176" i="2" s="1"/>
  <c r="J174" i="2"/>
  <c r="J164" i="2" s="1"/>
  <c r="N173" i="2"/>
  <c r="N171" i="2" s="1"/>
  <c r="M173" i="2"/>
  <c r="L173" i="2"/>
  <c r="L171" i="2" s="1"/>
  <c r="O171" i="2" s="1"/>
  <c r="P172" i="2"/>
  <c r="O172" i="2"/>
  <c r="N170" i="2"/>
  <c r="M170" i="2"/>
  <c r="P170" i="2" s="1"/>
  <c r="L170" i="2"/>
  <c r="P169" i="2"/>
  <c r="O169" i="2"/>
  <c r="P166" i="2"/>
  <c r="O166" i="2"/>
  <c r="N166" i="2"/>
  <c r="M166" i="2"/>
  <c r="L166" i="2"/>
  <c r="I159" i="2"/>
  <c r="K159" i="2" s="1"/>
  <c r="N157" i="2"/>
  <c r="N155" i="2" s="1"/>
  <c r="M157" i="2"/>
  <c r="P157" i="2" s="1"/>
  <c r="L157" i="2"/>
  <c r="L155" i="2" s="1"/>
  <c r="O155" i="2" s="1"/>
  <c r="P156" i="2"/>
  <c r="O156" i="2"/>
  <c r="N154" i="2"/>
  <c r="N152" i="2" s="1"/>
  <c r="M154" i="2"/>
  <c r="L154" i="2"/>
  <c r="L152" i="2" s="1"/>
  <c r="O152" i="2" s="1"/>
  <c r="P153" i="2"/>
  <c r="O153" i="2"/>
  <c r="P150" i="2"/>
  <c r="N150" i="2"/>
  <c r="M150" i="2"/>
  <c r="L150" i="2"/>
  <c r="J148" i="2"/>
  <c r="I146" i="2"/>
  <c r="K146" i="2" s="1"/>
  <c r="I145" i="2"/>
  <c r="K145" i="2" s="1"/>
  <c r="I144" i="2"/>
  <c r="K144" i="2" s="1"/>
  <c r="N140" i="2"/>
  <c r="N138" i="2" s="1"/>
  <c r="M140" i="2"/>
  <c r="M138" i="2" s="1"/>
  <c r="P138" i="2" s="1"/>
  <c r="L140" i="2"/>
  <c r="P139" i="2"/>
  <c r="O139" i="2"/>
  <c r="N137" i="2"/>
  <c r="M137" i="2"/>
  <c r="L137" i="2"/>
  <c r="O137" i="2" s="1"/>
  <c r="P136" i="2"/>
  <c r="O136" i="2"/>
  <c r="O133" i="2"/>
  <c r="N133" i="2"/>
  <c r="M133" i="2"/>
  <c r="L133" i="2"/>
  <c r="J130" i="2"/>
  <c r="N127" i="2"/>
  <c r="M127" i="2"/>
  <c r="P127" i="2" s="1"/>
  <c r="L127" i="2"/>
  <c r="P126" i="2"/>
  <c r="O126" i="2"/>
  <c r="N124" i="2"/>
  <c r="N122" i="2" s="1"/>
  <c r="M124" i="2"/>
  <c r="L124" i="2"/>
  <c r="L122" i="2" s="1"/>
  <c r="O122" i="2" s="1"/>
  <c r="P123" i="2"/>
  <c r="O123" i="2"/>
  <c r="P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K99" i="2" s="1"/>
  <c r="J98" i="2"/>
  <c r="I98" i="2"/>
  <c r="I86" i="2" s="1"/>
  <c r="N96" i="2"/>
  <c r="N94" i="2" s="1"/>
  <c r="M96" i="2"/>
  <c r="L96" i="2"/>
  <c r="L94" i="2" s="1"/>
  <c r="O94" i="2" s="1"/>
  <c r="P95" i="2"/>
  <c r="O95" i="2"/>
  <c r="N93" i="2"/>
  <c r="M93" i="2"/>
  <c r="M91" i="2" s="1"/>
  <c r="L93" i="2"/>
  <c r="L91" i="2" s="1"/>
  <c r="P92" i="2"/>
  <c r="O92" i="2"/>
  <c r="P89" i="2"/>
  <c r="O89" i="2"/>
  <c r="N89" i="2"/>
  <c r="M89" i="2"/>
  <c r="L89" i="2"/>
  <c r="J86" i="2"/>
  <c r="I84" i="2"/>
  <c r="K84" i="2" s="1"/>
  <c r="I83" i="2"/>
  <c r="K83" i="2" s="1"/>
  <c r="I82" i="2"/>
  <c r="K82" i="2" s="1"/>
  <c r="I81" i="2"/>
  <c r="K81" i="2" s="1"/>
  <c r="I80" i="2"/>
  <c r="I79" i="2"/>
  <c r="K79" i="2" s="1"/>
  <c r="I78" i="2"/>
  <c r="K78" i="2" s="1"/>
  <c r="J77" i="2"/>
  <c r="J76" i="2"/>
  <c r="J64" i="2" s="1"/>
  <c r="N74" i="2"/>
  <c r="N72" i="2" s="1"/>
  <c r="M74" i="2"/>
  <c r="M72" i="2" s="1"/>
  <c r="P72" i="2" s="1"/>
  <c r="L74" i="2"/>
  <c r="P73" i="2"/>
  <c r="O73" i="2"/>
  <c r="N71" i="2"/>
  <c r="M71" i="2"/>
  <c r="L71" i="2"/>
  <c r="L69" i="2" s="1"/>
  <c r="P70" i="2"/>
  <c r="O70" i="2"/>
  <c r="P67" i="2"/>
  <c r="O67" i="2"/>
  <c r="N67" i="2"/>
  <c r="M67" i="2"/>
  <c r="L67" i="2"/>
  <c r="J65" i="2"/>
  <c r="N61" i="2"/>
  <c r="N59" i="2" s="1"/>
  <c r="M61" i="2"/>
  <c r="M59" i="2" s="1"/>
  <c r="P59" i="2" s="1"/>
  <c r="L61" i="2"/>
  <c r="O61" i="2" s="1"/>
  <c r="P60" i="2"/>
  <c r="O60" i="2"/>
  <c r="N58" i="2"/>
  <c r="N56" i="2" s="1"/>
  <c r="M58" i="2"/>
  <c r="L58" i="2"/>
  <c r="P57" i="2"/>
  <c r="O57" i="2"/>
  <c r="P54" i="2"/>
  <c r="N54" i="2"/>
  <c r="M54" i="2"/>
  <c r="L54" i="2"/>
  <c r="N49" i="2"/>
  <c r="M49" i="2"/>
  <c r="L49" i="2"/>
  <c r="L47" i="2" s="1"/>
  <c r="O47" i="2" s="1"/>
  <c r="P48" i="2"/>
  <c r="O48" i="2"/>
  <c r="N46" i="2"/>
  <c r="M46" i="2"/>
  <c r="M44" i="2" s="1"/>
  <c r="L46" i="2"/>
  <c r="P45" i="2"/>
  <c r="O45" i="2"/>
  <c r="N42" i="2"/>
  <c r="M42" i="2"/>
  <c r="L42" i="2"/>
  <c r="O42" i="2" s="1"/>
  <c r="P36" i="2"/>
  <c r="N36" i="2"/>
  <c r="M36" i="2"/>
  <c r="P35" i="2"/>
  <c r="O35" i="2"/>
  <c r="N35" i="2"/>
  <c r="M35" i="2"/>
  <c r="L35" i="2"/>
  <c r="N34" i="2"/>
  <c r="M34" i="2"/>
  <c r="P34" i="2" s="1"/>
  <c r="P32" i="2"/>
  <c r="O32" i="2"/>
  <c r="N32" i="2"/>
  <c r="M32" i="2"/>
  <c r="L32" i="2"/>
  <c r="L29" i="2" s="1"/>
  <c r="O29" i="2" s="1"/>
  <c r="N29" i="2"/>
  <c r="M29" i="2"/>
  <c r="P25" i="2"/>
  <c r="N25" i="2"/>
  <c r="M25" i="2"/>
  <c r="M15" i="2" s="1"/>
  <c r="L25" i="2"/>
  <c r="N22" i="2"/>
  <c r="M22" i="2"/>
  <c r="L22" i="2"/>
  <c r="O22" i="2" s="1"/>
  <c r="N19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P808" i="1"/>
  <c r="O808" i="1"/>
  <c r="M808" i="1"/>
  <c r="L808" i="1"/>
  <c r="P807" i="1"/>
  <c r="O807" i="1"/>
  <c r="M807" i="1"/>
  <c r="L807" i="1"/>
  <c r="N806" i="1"/>
  <c r="M806" i="1"/>
  <c r="L806" i="1"/>
  <c r="O806" i="1" s="1"/>
  <c r="K804" i="1"/>
  <c r="J804" i="1"/>
  <c r="K802" i="1"/>
  <c r="J801" i="1"/>
  <c r="J800" i="1"/>
  <c r="J785" i="1" s="1"/>
  <c r="I800" i="1"/>
  <c r="I785" i="1" s="1"/>
  <c r="K785" i="1" s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O791" i="1" s="1"/>
  <c r="P790" i="1"/>
  <c r="O790" i="1"/>
  <c r="P789" i="1"/>
  <c r="M789" i="1"/>
  <c r="M788" i="1"/>
  <c r="P788" i="1" s="1"/>
  <c r="P787" i="1"/>
  <c r="O787" i="1"/>
  <c r="N787" i="1"/>
  <c r="M787" i="1"/>
  <c r="L787" i="1"/>
  <c r="P786" i="1"/>
  <c r="M786" i="1"/>
  <c r="P782" i="1"/>
  <c r="O782" i="1"/>
  <c r="P781" i="1"/>
  <c r="O781" i="1"/>
  <c r="P780" i="1"/>
  <c r="N780" i="1"/>
  <c r="M780" i="1"/>
  <c r="L780" i="1"/>
  <c r="O780" i="1" s="1"/>
  <c r="P775" i="1"/>
  <c r="O775" i="1"/>
  <c r="N775" i="1"/>
  <c r="N772" i="1" s="1"/>
  <c r="P774" i="1"/>
  <c r="O774" i="1"/>
  <c r="N773" i="1"/>
  <c r="M773" i="1"/>
  <c r="P773" i="1" s="1"/>
  <c r="L773" i="1"/>
  <c r="O773" i="1" s="1"/>
  <c r="P772" i="1"/>
  <c r="O772" i="1"/>
  <c r="M772" i="1"/>
  <c r="L772" i="1"/>
  <c r="P771" i="1"/>
  <c r="O771" i="1"/>
  <c r="N771" i="1"/>
  <c r="N770" i="1" s="1"/>
  <c r="M771" i="1"/>
  <c r="L771" i="1"/>
  <c r="M770" i="1"/>
  <c r="P770" i="1" s="1"/>
  <c r="L770" i="1"/>
  <c r="O770" i="1" s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P757" i="1"/>
  <c r="O757" i="1"/>
  <c r="N757" i="1"/>
  <c r="M757" i="1"/>
  <c r="L757" i="1"/>
  <c r="O756" i="1"/>
  <c r="N756" i="1"/>
  <c r="M756" i="1"/>
  <c r="M754" i="1" s="1"/>
  <c r="P754" i="1" s="1"/>
  <c r="L756" i="1"/>
  <c r="P755" i="1"/>
  <c r="N755" i="1"/>
  <c r="M755" i="1"/>
  <c r="L755" i="1"/>
  <c r="N754" i="1"/>
  <c r="K753" i="1"/>
  <c r="J753" i="1"/>
  <c r="P749" i="1"/>
  <c r="O749" i="1"/>
  <c r="P748" i="1"/>
  <c r="O748" i="1"/>
  <c r="P747" i="1"/>
  <c r="N747" i="1"/>
  <c r="M747" i="1"/>
  <c r="L747" i="1"/>
  <c r="O747" i="1" s="1"/>
  <c r="P742" i="1"/>
  <c r="O742" i="1"/>
  <c r="N742" i="1"/>
  <c r="N739" i="1" s="1"/>
  <c r="P741" i="1"/>
  <c r="O741" i="1"/>
  <c r="M740" i="1"/>
  <c r="P740" i="1" s="1"/>
  <c r="L740" i="1"/>
  <c r="O740" i="1" s="1"/>
  <c r="P739" i="1"/>
  <c r="O739" i="1"/>
  <c r="M739" i="1"/>
  <c r="L739" i="1"/>
  <c r="O738" i="1"/>
  <c r="N738" i="1"/>
  <c r="M738" i="1"/>
  <c r="P738" i="1" s="1"/>
  <c r="L738" i="1"/>
  <c r="M737" i="1"/>
  <c r="P737" i="1" s="1"/>
  <c r="L737" i="1"/>
  <c r="O737" i="1" s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M690" i="1"/>
  <c r="M687" i="1" s="1"/>
  <c r="L690" i="1"/>
  <c r="L687" i="1" s="1"/>
  <c r="P686" i="1"/>
  <c r="N686" i="1"/>
  <c r="M686" i="1"/>
  <c r="L686" i="1"/>
  <c r="O686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O665" i="1"/>
  <c r="N665" i="1"/>
  <c r="M665" i="1"/>
  <c r="P665" i="1" s="1"/>
  <c r="L665" i="1"/>
  <c r="N664" i="1"/>
  <c r="N663" i="1"/>
  <c r="N662" i="1"/>
  <c r="N661" i="1"/>
  <c r="M660" i="1"/>
  <c r="L660" i="1"/>
  <c r="L658" i="1" s="1"/>
  <c r="P659" i="1"/>
  <c r="O659" i="1"/>
  <c r="P656" i="1"/>
  <c r="O656" i="1"/>
  <c r="N656" i="1"/>
  <c r="M656" i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L639" i="1" s="1"/>
  <c r="O639" i="1" s="1"/>
  <c r="P640" i="1"/>
  <c r="O640" i="1"/>
  <c r="P639" i="1"/>
  <c r="N639" i="1"/>
  <c r="M639" i="1"/>
  <c r="N638" i="1"/>
  <c r="N637" i="1"/>
  <c r="N636" i="1"/>
  <c r="N635" i="1"/>
  <c r="M634" i="1"/>
  <c r="L634" i="1"/>
  <c r="P633" i="1"/>
  <c r="O633" i="1"/>
  <c r="N630" i="1"/>
  <c r="M630" i="1"/>
  <c r="P630" i="1" s="1"/>
  <c r="L630" i="1"/>
  <c r="O630" i="1" s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M555" i="1"/>
  <c r="N554" i="1"/>
  <c r="N553" i="1"/>
  <c r="N552" i="1"/>
  <c r="N551" i="1"/>
  <c r="N550" i="1"/>
  <c r="M549" i="1"/>
  <c r="M547" i="1" s="1"/>
  <c r="L549" i="1"/>
  <c r="P548" i="1"/>
  <c r="O548" i="1"/>
  <c r="N545" i="1"/>
  <c r="M545" i="1"/>
  <c r="L545" i="1"/>
  <c r="O545" i="1" s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M528" i="1"/>
  <c r="M526" i="1" s="1"/>
  <c r="L528" i="1"/>
  <c r="L526" i="1" s="1"/>
  <c r="P527" i="1"/>
  <c r="O527" i="1"/>
  <c r="P524" i="1"/>
  <c r="N524" i="1"/>
  <c r="M524" i="1"/>
  <c r="L524" i="1"/>
  <c r="O524" i="1" s="1"/>
  <c r="K517" i="1"/>
  <c r="J517" i="1"/>
  <c r="J501" i="1" s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P506" i="1"/>
  <c r="O506" i="1"/>
  <c r="P505" i="1"/>
  <c r="O505" i="1"/>
  <c r="N505" i="1"/>
  <c r="M505" i="1"/>
  <c r="L505" i="1"/>
  <c r="N504" i="1"/>
  <c r="N502" i="1" s="1"/>
  <c r="M504" i="1"/>
  <c r="P504" i="1" s="1"/>
  <c r="L504" i="1"/>
  <c r="O504" i="1" s="1"/>
  <c r="P503" i="1"/>
  <c r="N503" i="1"/>
  <c r="M503" i="1"/>
  <c r="L503" i="1"/>
  <c r="O503" i="1" s="1"/>
  <c r="P502" i="1"/>
  <c r="M502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P477" i="1"/>
  <c r="N477" i="1"/>
  <c r="M477" i="1"/>
  <c r="N476" i="1"/>
  <c r="N475" i="1"/>
  <c r="N474" i="1"/>
  <c r="N473" i="1"/>
  <c r="M472" i="1"/>
  <c r="M469" i="1" s="1"/>
  <c r="L472" i="1"/>
  <c r="L470" i="1" s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M449" i="1"/>
  <c r="M447" i="1" s="1"/>
  <c r="L449" i="1"/>
  <c r="P448" i="1"/>
  <c r="O448" i="1"/>
  <c r="N445" i="1"/>
  <c r="M445" i="1"/>
  <c r="P445" i="1" s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O431" i="1" s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P420" i="1"/>
  <c r="O420" i="1"/>
  <c r="N420" i="1"/>
  <c r="M420" i="1"/>
  <c r="L420" i="1"/>
  <c r="J413" i="1"/>
  <c r="I413" i="1"/>
  <c r="J412" i="1"/>
  <c r="I412" i="1"/>
  <c r="I401" i="1" s="1"/>
  <c r="N410" i="1"/>
  <c r="N408" i="1" s="1"/>
  <c r="M410" i="1"/>
  <c r="L410" i="1"/>
  <c r="L408" i="1" s="1"/>
  <c r="P409" i="1"/>
  <c r="O409" i="1"/>
  <c r="N407" i="1"/>
  <c r="M407" i="1"/>
  <c r="P407" i="1" s="1"/>
  <c r="L407" i="1"/>
  <c r="L405" i="1" s="1"/>
  <c r="O405" i="1" s="1"/>
  <c r="P406" i="1"/>
  <c r="O406" i="1"/>
  <c r="P403" i="1"/>
  <c r="O403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L397" i="1"/>
  <c r="L395" i="1" s="1"/>
  <c r="P396" i="1"/>
  <c r="O396" i="1"/>
  <c r="N394" i="1"/>
  <c r="M394" i="1"/>
  <c r="M392" i="1" s="1"/>
  <c r="P392" i="1" s="1"/>
  <c r="L394" i="1"/>
  <c r="L392" i="1" s="1"/>
  <c r="O392" i="1" s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P352" i="1"/>
  <c r="O352" i="1"/>
  <c r="N350" i="1"/>
  <c r="N348" i="1" s="1"/>
  <c r="M350" i="1"/>
  <c r="L350" i="1"/>
  <c r="P349" i="1"/>
  <c r="O349" i="1"/>
  <c r="O346" i="1"/>
  <c r="N346" i="1"/>
  <c r="M346" i="1"/>
  <c r="P346" i="1" s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L336" i="1"/>
  <c r="O336" i="1" s="1"/>
  <c r="P335" i="1"/>
  <c r="O335" i="1"/>
  <c r="N333" i="1"/>
  <c r="N331" i="1" s="1"/>
  <c r="M333" i="1"/>
  <c r="L333" i="1"/>
  <c r="P332" i="1"/>
  <c r="O332" i="1"/>
  <c r="O329" i="1"/>
  <c r="N329" i="1"/>
  <c r="M329" i="1"/>
  <c r="P329" i="1" s="1"/>
  <c r="L329" i="1"/>
  <c r="I327" i="1"/>
  <c r="J325" i="1"/>
  <c r="J314" i="1" s="1"/>
  <c r="I325" i="1"/>
  <c r="I314" i="1" s="1"/>
  <c r="N323" i="1"/>
  <c r="M323" i="1"/>
  <c r="M321" i="1" s="1"/>
  <c r="L323" i="1"/>
  <c r="L321" i="1" s="1"/>
  <c r="P322" i="1"/>
  <c r="O322" i="1"/>
  <c r="N320" i="1"/>
  <c r="N318" i="1" s="1"/>
  <c r="M320" i="1"/>
  <c r="L320" i="1"/>
  <c r="P319" i="1"/>
  <c r="O319" i="1"/>
  <c r="N316" i="1"/>
  <c r="M316" i="1"/>
  <c r="L316" i="1"/>
  <c r="O316" i="1" s="1"/>
  <c r="J312" i="1"/>
  <c r="I312" i="1"/>
  <c r="J311" i="1"/>
  <c r="I311" i="1"/>
  <c r="J310" i="1"/>
  <c r="I310" i="1"/>
  <c r="J309" i="1"/>
  <c r="I309" i="1"/>
  <c r="I297" i="1" s="1"/>
  <c r="J308" i="1"/>
  <c r="N306" i="1"/>
  <c r="N304" i="1" s="1"/>
  <c r="M306" i="1"/>
  <c r="L306" i="1"/>
  <c r="L304" i="1" s="1"/>
  <c r="O304" i="1" s="1"/>
  <c r="P305" i="1"/>
  <c r="O305" i="1"/>
  <c r="N303" i="1"/>
  <c r="N301" i="1" s="1"/>
  <c r="M303" i="1"/>
  <c r="M301" i="1" s="1"/>
  <c r="L303" i="1"/>
  <c r="P302" i="1"/>
  <c r="O302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I276" i="1" s="1"/>
  <c r="N285" i="1"/>
  <c r="N283" i="1" s="1"/>
  <c r="M285" i="1"/>
  <c r="P285" i="1" s="1"/>
  <c r="L285" i="1"/>
  <c r="O285" i="1" s="1"/>
  <c r="P284" i="1"/>
  <c r="O284" i="1"/>
  <c r="N282" i="1"/>
  <c r="N280" i="1" s="1"/>
  <c r="M282" i="1"/>
  <c r="L282" i="1"/>
  <c r="P281" i="1"/>
  <c r="O281" i="1"/>
  <c r="P278" i="1"/>
  <c r="O278" i="1"/>
  <c r="N278" i="1"/>
  <c r="M278" i="1"/>
  <c r="L278" i="1"/>
  <c r="J271" i="1"/>
  <c r="J260" i="1" s="1"/>
  <c r="I271" i="1"/>
  <c r="I260" i="1" s="1"/>
  <c r="N269" i="1"/>
  <c r="N267" i="1" s="1"/>
  <c r="M269" i="1"/>
  <c r="P269" i="1" s="1"/>
  <c r="L269" i="1"/>
  <c r="O269" i="1" s="1"/>
  <c r="P268" i="1"/>
  <c r="O268" i="1"/>
  <c r="N266" i="1"/>
  <c r="M266" i="1"/>
  <c r="M264" i="1" s="1"/>
  <c r="L266" i="1"/>
  <c r="P265" i="1"/>
  <c r="O265" i="1"/>
  <c r="O262" i="1"/>
  <c r="N262" i="1"/>
  <c r="M262" i="1"/>
  <c r="P262" i="1" s="1"/>
  <c r="L262" i="1"/>
  <c r="J258" i="1"/>
  <c r="I258" i="1"/>
  <c r="K258" i="1" s="1"/>
  <c r="J257" i="1"/>
  <c r="I257" i="1"/>
  <c r="K257" i="1" s="1"/>
  <c r="J255" i="1"/>
  <c r="J248" i="1" s="1"/>
  <c r="I255" i="1"/>
  <c r="I248" i="1" s="1"/>
  <c r="K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I193" i="1"/>
  <c r="I190" i="1" s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N184" i="1" s="1"/>
  <c r="M186" i="1"/>
  <c r="M184" i="1" s="1"/>
  <c r="L186" i="1"/>
  <c r="L184" i="1" s="1"/>
  <c r="P185" i="1"/>
  <c r="O185" i="1"/>
  <c r="O182" i="1"/>
  <c r="N182" i="1"/>
  <c r="M182" i="1"/>
  <c r="P182" i="1" s="1"/>
  <c r="L182" i="1"/>
  <c r="J177" i="1"/>
  <c r="J176" i="1"/>
  <c r="J174" i="1" s="1"/>
  <c r="I176" i="1"/>
  <c r="I174" i="1" s="1"/>
  <c r="I164" i="1" s="1"/>
  <c r="N173" i="1"/>
  <c r="N171" i="1" s="1"/>
  <c r="M173" i="1"/>
  <c r="P173" i="1" s="1"/>
  <c r="L173" i="1"/>
  <c r="O173" i="1" s="1"/>
  <c r="P172" i="1"/>
  <c r="O172" i="1"/>
  <c r="N170" i="1"/>
  <c r="M170" i="1"/>
  <c r="M168" i="1" s="1"/>
  <c r="L170" i="1"/>
  <c r="P169" i="1"/>
  <c r="O169" i="1"/>
  <c r="P166" i="1"/>
  <c r="O166" i="1"/>
  <c r="N166" i="1"/>
  <c r="M166" i="1"/>
  <c r="L166" i="1"/>
  <c r="J159" i="1"/>
  <c r="J148" i="1" s="1"/>
  <c r="I159" i="1"/>
  <c r="I148" i="1" s="1"/>
  <c r="N157" i="1"/>
  <c r="N155" i="1" s="1"/>
  <c r="M157" i="1"/>
  <c r="M155" i="1" s="1"/>
  <c r="P155" i="1" s="1"/>
  <c r="L157" i="1"/>
  <c r="O157" i="1" s="1"/>
  <c r="P156" i="1"/>
  <c r="O156" i="1"/>
  <c r="N154" i="1"/>
  <c r="M154" i="1"/>
  <c r="L154" i="1"/>
  <c r="L152" i="1" s="1"/>
  <c r="P153" i="1"/>
  <c r="O153" i="1"/>
  <c r="P150" i="1"/>
  <c r="O150" i="1"/>
  <c r="N150" i="1"/>
  <c r="M150" i="1"/>
  <c r="L150" i="1"/>
  <c r="J146" i="1"/>
  <c r="J130" i="1" s="1"/>
  <c r="I146" i="1"/>
  <c r="I130" i="1" s="1"/>
  <c r="J145" i="1"/>
  <c r="I145" i="1"/>
  <c r="I143" i="1" s="1"/>
  <c r="I131" i="1" s="1"/>
  <c r="J144" i="1"/>
  <c r="I144" i="1"/>
  <c r="J143" i="1"/>
  <c r="J131" i="1" s="1"/>
  <c r="J142" i="1"/>
  <c r="N140" i="1"/>
  <c r="M140" i="1"/>
  <c r="M138" i="1" s="1"/>
  <c r="L140" i="1"/>
  <c r="L138" i="1" s="1"/>
  <c r="P139" i="1"/>
  <c r="O139" i="1"/>
  <c r="N137" i="1"/>
  <c r="N135" i="1" s="1"/>
  <c r="M137" i="1"/>
  <c r="L137" i="1"/>
  <c r="P136" i="1"/>
  <c r="O136" i="1"/>
  <c r="O133" i="1"/>
  <c r="N133" i="1"/>
  <c r="M133" i="1"/>
  <c r="P133" i="1" s="1"/>
  <c r="L133" i="1"/>
  <c r="N127" i="1"/>
  <c r="M127" i="1"/>
  <c r="L127" i="1"/>
  <c r="L125" i="1" s="1"/>
  <c r="P126" i="1"/>
  <c r="O126" i="1"/>
  <c r="N124" i="1"/>
  <c r="N122" i="1" s="1"/>
  <c r="M124" i="1"/>
  <c r="L124" i="1"/>
  <c r="L122" i="1" s="1"/>
  <c r="O122" i="1" s="1"/>
  <c r="P123" i="1"/>
  <c r="O123" i="1"/>
  <c r="P120" i="1"/>
  <c r="N120" i="1"/>
  <c r="M120" i="1"/>
  <c r="L120" i="1"/>
  <c r="O120" i="1" s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M94" i="1" s="1"/>
  <c r="P94" i="1" s="1"/>
  <c r="L96" i="1"/>
  <c r="O96" i="1" s="1"/>
  <c r="P95" i="1"/>
  <c r="O95" i="1"/>
  <c r="N93" i="1"/>
  <c r="N91" i="1" s="1"/>
  <c r="M93" i="1"/>
  <c r="L93" i="1"/>
  <c r="P92" i="1"/>
  <c r="O92" i="1"/>
  <c r="N89" i="1"/>
  <c r="M89" i="1"/>
  <c r="P89" i="1" s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O74" i="1" s="1"/>
  <c r="P73" i="1"/>
  <c r="O73" i="1"/>
  <c r="N71" i="1"/>
  <c r="N69" i="1" s="1"/>
  <c r="M71" i="1"/>
  <c r="L71" i="1"/>
  <c r="P70" i="1"/>
  <c r="O70" i="1"/>
  <c r="N67" i="1"/>
  <c r="M67" i="1"/>
  <c r="L67" i="1"/>
  <c r="O67" i="1" s="1"/>
  <c r="N61" i="1"/>
  <c r="N59" i="1" s="1"/>
  <c r="M61" i="1"/>
  <c r="L61" i="1"/>
  <c r="P60" i="1"/>
  <c r="O60" i="1"/>
  <c r="N58" i="1"/>
  <c r="M58" i="1"/>
  <c r="M56" i="1" s="1"/>
  <c r="L58" i="1"/>
  <c r="P57" i="1"/>
  <c r="O57" i="1"/>
  <c r="P54" i="1"/>
  <c r="O54" i="1"/>
  <c r="N54" i="1"/>
  <c r="M54" i="1"/>
  <c r="L54" i="1"/>
  <c r="N49" i="1"/>
  <c r="N47" i="1" s="1"/>
  <c r="M49" i="1"/>
  <c r="P49" i="1" s="1"/>
  <c r="L49" i="1"/>
  <c r="P48" i="1"/>
  <c r="O48" i="1"/>
  <c r="N46" i="1"/>
  <c r="N44" i="1" s="1"/>
  <c r="M46" i="1"/>
  <c r="L46" i="1"/>
  <c r="L44" i="1" s="1"/>
  <c r="P45" i="1"/>
  <c r="O45" i="1"/>
  <c r="O42" i="1"/>
  <c r="N42" i="1"/>
  <c r="M42" i="1"/>
  <c r="P42" i="1" s="1"/>
  <c r="L42" i="1"/>
  <c r="P36" i="1"/>
  <c r="N36" i="1"/>
  <c r="M36" i="1"/>
  <c r="N35" i="1"/>
  <c r="N34" i="1" s="1"/>
  <c r="M35" i="1"/>
  <c r="L35" i="1"/>
  <c r="O35" i="1" s="1"/>
  <c r="N32" i="1"/>
  <c r="N29" i="1" s="1"/>
  <c r="M32" i="1"/>
  <c r="L32" i="1"/>
  <c r="P25" i="1"/>
  <c r="O25" i="1"/>
  <c r="N25" i="1"/>
  <c r="M25" i="1"/>
  <c r="L25" i="1"/>
  <c r="O22" i="1"/>
  <c r="N22" i="1"/>
  <c r="N19" i="1" s="1"/>
  <c r="M22" i="1"/>
  <c r="P22" i="1" s="1"/>
  <c r="L22" i="1"/>
  <c r="M19" i="1"/>
  <c r="L19" i="1"/>
  <c r="O15" i="1"/>
  <c r="L15" i="1"/>
  <c r="N12" i="1"/>
  <c r="L525" i="10" l="1"/>
  <c r="I216" i="10"/>
  <c r="K216" i="10" s="1"/>
  <c r="I260" i="5"/>
  <c r="K260" i="5" s="1"/>
  <c r="I197" i="12"/>
  <c r="I197" i="15"/>
  <c r="K197" i="15" s="1"/>
  <c r="I148" i="2"/>
  <c r="K148" i="2" s="1"/>
  <c r="L631" i="9"/>
  <c r="L629" i="9" s="1"/>
  <c r="O629" i="9" s="1"/>
  <c r="I197" i="7"/>
  <c r="K197" i="7" s="1"/>
  <c r="I248" i="12"/>
  <c r="K248" i="12" s="1"/>
  <c r="K825" i="15"/>
  <c r="I197" i="6"/>
  <c r="K197" i="6" s="1"/>
  <c r="I237" i="10"/>
  <c r="K237" i="10" s="1"/>
  <c r="I248" i="15"/>
  <c r="K248" i="15" s="1"/>
  <c r="I208" i="8"/>
  <c r="K208" i="8" s="1"/>
  <c r="L183" i="15"/>
  <c r="L181" i="15" s="1"/>
  <c r="O189" i="15"/>
  <c r="L230" i="15"/>
  <c r="I86" i="13"/>
  <c r="K86" i="13" s="1"/>
  <c r="I197" i="3"/>
  <c r="K197" i="3" s="1"/>
  <c r="I148" i="15"/>
  <c r="K148" i="15" s="1"/>
  <c r="P49" i="15"/>
  <c r="I297" i="15"/>
  <c r="K297" i="15" s="1"/>
  <c r="O74" i="15"/>
  <c r="K338" i="15"/>
  <c r="P353" i="15"/>
  <c r="L228" i="15"/>
  <c r="K823" i="15"/>
  <c r="L55" i="15"/>
  <c r="L53" i="15" s="1"/>
  <c r="K372" i="14"/>
  <c r="P93" i="15"/>
  <c r="L657" i="3"/>
  <c r="O657" i="3" s="1"/>
  <c r="L330" i="14"/>
  <c r="L328" i="14" s="1"/>
  <c r="I314" i="15"/>
  <c r="K314" i="15" s="1"/>
  <c r="L217" i="15"/>
  <c r="O217" i="15" s="1"/>
  <c r="K460" i="15"/>
  <c r="L68" i="15"/>
  <c r="L66" i="15" s="1"/>
  <c r="M167" i="15"/>
  <c r="M165" i="15" s="1"/>
  <c r="I208" i="10"/>
  <c r="K208" i="10" s="1"/>
  <c r="P336" i="15"/>
  <c r="N55" i="15"/>
  <c r="N53" i="15" s="1"/>
  <c r="M300" i="15"/>
  <c r="M298" i="15" s="1"/>
  <c r="O528" i="15"/>
  <c r="L788" i="15"/>
  <c r="O788" i="15" s="1"/>
  <c r="I628" i="7"/>
  <c r="K628" i="7" s="1"/>
  <c r="P333" i="15"/>
  <c r="N317" i="14"/>
  <c r="N315" i="14" s="1"/>
  <c r="P269" i="15"/>
  <c r="J327" i="15"/>
  <c r="K327" i="15" s="1"/>
  <c r="J721" i="15"/>
  <c r="M330" i="15"/>
  <c r="M328" i="15" s="1"/>
  <c r="M331" i="15"/>
  <c r="K649" i="13"/>
  <c r="O320" i="15"/>
  <c r="L688" i="15"/>
  <c r="O688" i="15" s="1"/>
  <c r="K824" i="15"/>
  <c r="M528" i="15"/>
  <c r="P528" i="15" s="1"/>
  <c r="P59" i="13"/>
  <c r="P61" i="15"/>
  <c r="P318" i="15"/>
  <c r="P350" i="15"/>
  <c r="I112" i="15"/>
  <c r="K112" i="15" s="1"/>
  <c r="P135" i="15"/>
  <c r="L167" i="15"/>
  <c r="L165" i="15" s="1"/>
  <c r="L789" i="15"/>
  <c r="O789" i="15" s="1"/>
  <c r="N121" i="14"/>
  <c r="N119" i="14" s="1"/>
  <c r="K576" i="15"/>
  <c r="L639" i="15"/>
  <c r="O639" i="15" s="1"/>
  <c r="L687" i="15"/>
  <c r="O687" i="15" s="1"/>
  <c r="J722" i="15"/>
  <c r="P282" i="14"/>
  <c r="O269" i="15"/>
  <c r="L134" i="15"/>
  <c r="L132" i="15" s="1"/>
  <c r="N68" i="14"/>
  <c r="N66" i="14" s="1"/>
  <c r="N68" i="15"/>
  <c r="N66" i="15" s="1"/>
  <c r="O170" i="15"/>
  <c r="K116" i="15"/>
  <c r="P140" i="15"/>
  <c r="L477" i="15"/>
  <c r="O477" i="15" s="1"/>
  <c r="N151" i="14"/>
  <c r="N149" i="14" s="1"/>
  <c r="K537" i="14"/>
  <c r="N90" i="15"/>
  <c r="N88" i="15" s="1"/>
  <c r="M183" i="15"/>
  <c r="P323" i="15"/>
  <c r="K360" i="15"/>
  <c r="K378" i="15"/>
  <c r="K435" i="15"/>
  <c r="O535" i="15"/>
  <c r="L36" i="15"/>
  <c r="O36" i="15" s="1"/>
  <c r="L33" i="15"/>
  <c r="O33" i="15" s="1"/>
  <c r="M68" i="15"/>
  <c r="M66" i="15" s="1"/>
  <c r="P66" i="15" s="1"/>
  <c r="N72" i="15"/>
  <c r="I86" i="15"/>
  <c r="K86" i="15" s="1"/>
  <c r="M91" i="15"/>
  <c r="P91" i="15" s="1"/>
  <c r="P127" i="15"/>
  <c r="L135" i="15"/>
  <c r="O135" i="15" s="1"/>
  <c r="O137" i="15"/>
  <c r="J143" i="15"/>
  <c r="J131" i="15" s="1"/>
  <c r="N183" i="15"/>
  <c r="N181" i="15" s="1"/>
  <c r="I237" i="15"/>
  <c r="K237" i="15" s="1"/>
  <c r="P285" i="15"/>
  <c r="K340" i="15"/>
  <c r="M347" i="15"/>
  <c r="M345" i="15" s="1"/>
  <c r="J364" i="15"/>
  <c r="K379" i="15"/>
  <c r="M449" i="15"/>
  <c r="M446" i="15" s="1"/>
  <c r="M444" i="15" s="1"/>
  <c r="N138" i="15"/>
  <c r="P138" i="15" s="1"/>
  <c r="O186" i="15"/>
  <c r="I233" i="15"/>
  <c r="K233" i="15" s="1"/>
  <c r="I260" i="15"/>
  <c r="K260" i="15" s="1"/>
  <c r="P410" i="15"/>
  <c r="K651" i="15"/>
  <c r="P71" i="15"/>
  <c r="M134" i="15"/>
  <c r="K146" i="15"/>
  <c r="L249" i="15"/>
  <c r="O249" i="15" s="1"/>
  <c r="M351" i="15"/>
  <c r="P351" i="15" s="1"/>
  <c r="O91" i="15"/>
  <c r="I260" i="12"/>
  <c r="K260" i="12" s="1"/>
  <c r="L121" i="14"/>
  <c r="L119" i="14" s="1"/>
  <c r="O119" i="14" s="1"/>
  <c r="I130" i="14"/>
  <c r="K130" i="14" s="1"/>
  <c r="L231" i="14"/>
  <c r="O58" i="15"/>
  <c r="N121" i="15"/>
  <c r="N119" i="15" s="1"/>
  <c r="M151" i="15"/>
  <c r="M149" i="15" s="1"/>
  <c r="L168" i="15"/>
  <c r="O168" i="15" s="1"/>
  <c r="L184" i="15"/>
  <c r="K355" i="15"/>
  <c r="K374" i="15"/>
  <c r="M424" i="14"/>
  <c r="P424" i="14" s="1"/>
  <c r="L47" i="15"/>
  <c r="O47" i="15" s="1"/>
  <c r="P58" i="15"/>
  <c r="I77" i="15"/>
  <c r="I65" i="15" s="1"/>
  <c r="K65" i="15" s="1"/>
  <c r="M168" i="15"/>
  <c r="P168" i="15" s="1"/>
  <c r="P170" i="15"/>
  <c r="L209" i="15"/>
  <c r="O209" i="15" s="1"/>
  <c r="N279" i="15"/>
  <c r="N277" i="15" s="1"/>
  <c r="L304" i="15"/>
  <c r="O304" i="15" s="1"/>
  <c r="K359" i="15"/>
  <c r="M404" i="15"/>
  <c r="P404" i="15" s="1"/>
  <c r="O634" i="15"/>
  <c r="L658" i="15"/>
  <c r="O658" i="15" s="1"/>
  <c r="O660" i="15"/>
  <c r="L446" i="14"/>
  <c r="O446" i="14" s="1"/>
  <c r="M68" i="14"/>
  <c r="M66" i="14" s="1"/>
  <c r="P66" i="14" s="1"/>
  <c r="M279" i="14"/>
  <c r="P279" i="14" s="1"/>
  <c r="L639" i="14"/>
  <c r="O639" i="14" s="1"/>
  <c r="L688" i="14"/>
  <c r="O688" i="14" s="1"/>
  <c r="L56" i="15"/>
  <c r="O140" i="15"/>
  <c r="K145" i="15"/>
  <c r="L155" i="15"/>
  <c r="O155" i="15" s="1"/>
  <c r="M184" i="15"/>
  <c r="P186" i="15"/>
  <c r="L229" i="15"/>
  <c r="M301" i="15"/>
  <c r="P320" i="15"/>
  <c r="K385" i="15"/>
  <c r="N391" i="15"/>
  <c r="N389" i="15" s="1"/>
  <c r="P394" i="15"/>
  <c r="K827" i="14"/>
  <c r="M56" i="15"/>
  <c r="O71" i="15"/>
  <c r="M121" i="15"/>
  <c r="P121" i="15" s="1"/>
  <c r="L125" i="15"/>
  <c r="O125" i="15" s="1"/>
  <c r="N151" i="15"/>
  <c r="M155" i="15"/>
  <c r="P155" i="15" s="1"/>
  <c r="N184" i="15"/>
  <c r="M187" i="15"/>
  <c r="P187" i="15" s="1"/>
  <c r="I208" i="15"/>
  <c r="K208" i="15" s="1"/>
  <c r="M317" i="15"/>
  <c r="M315" i="15" s="1"/>
  <c r="L392" i="15"/>
  <c r="O392" i="15" s="1"/>
  <c r="K442" i="15"/>
  <c r="K462" i="15"/>
  <c r="K800" i="15"/>
  <c r="N347" i="11"/>
  <c r="N345" i="11" s="1"/>
  <c r="J721" i="11"/>
  <c r="N167" i="14"/>
  <c r="N165" i="14" s="1"/>
  <c r="N56" i="15"/>
  <c r="P69" i="15"/>
  <c r="O93" i="15"/>
  <c r="L231" i="15"/>
  <c r="L321" i="15"/>
  <c r="O321" i="15" s="1"/>
  <c r="L347" i="15"/>
  <c r="L345" i="15" s="1"/>
  <c r="I654" i="15"/>
  <c r="K654" i="15" s="1"/>
  <c r="K672" i="15"/>
  <c r="L447" i="14"/>
  <c r="O447" i="14" s="1"/>
  <c r="K828" i="14"/>
  <c r="N134" i="15"/>
  <c r="N132" i="15" s="1"/>
  <c r="N167" i="15"/>
  <c r="N165" i="15" s="1"/>
  <c r="L279" i="15"/>
  <c r="L277" i="15" s="1"/>
  <c r="N330" i="15"/>
  <c r="N328" i="15" s="1"/>
  <c r="O333" i="15"/>
  <c r="N347" i="15"/>
  <c r="N345" i="15" s="1"/>
  <c r="I434" i="15"/>
  <c r="L525" i="15"/>
  <c r="L523" i="15" s="1"/>
  <c r="O523" i="15" s="1"/>
  <c r="L555" i="15"/>
  <c r="O555" i="15" s="1"/>
  <c r="K674" i="15"/>
  <c r="K827" i="15"/>
  <c r="I143" i="15"/>
  <c r="I131" i="15" s="1"/>
  <c r="P264" i="15"/>
  <c r="K821" i="15"/>
  <c r="M263" i="15"/>
  <c r="M261" i="15" s="1"/>
  <c r="P285" i="14"/>
  <c r="K369" i="14"/>
  <c r="M55" i="15"/>
  <c r="K99" i="15"/>
  <c r="P154" i="15"/>
  <c r="N263" i="15"/>
  <c r="N261" i="15" s="1"/>
  <c r="P303" i="15"/>
  <c r="K669" i="15"/>
  <c r="K822" i="15"/>
  <c r="K828" i="15"/>
  <c r="P12" i="15"/>
  <c r="M9" i="15"/>
  <c r="L43" i="15"/>
  <c r="L23" i="15"/>
  <c r="P397" i="15"/>
  <c r="M395" i="15"/>
  <c r="P395" i="15" s="1"/>
  <c r="K204" i="13"/>
  <c r="L217" i="14"/>
  <c r="O217" i="14" s="1"/>
  <c r="K823" i="14"/>
  <c r="N15" i="15"/>
  <c r="N9" i="15" s="1"/>
  <c r="M43" i="15"/>
  <c r="M41" i="15" s="1"/>
  <c r="M23" i="15"/>
  <c r="M21" i="15" s="1"/>
  <c r="P46" i="15"/>
  <c r="O120" i="15"/>
  <c r="P390" i="15"/>
  <c r="N447" i="15"/>
  <c r="N446" i="15"/>
  <c r="L446" i="15"/>
  <c r="O456" i="15"/>
  <c r="L454" i="15"/>
  <c r="O454" i="15" s="1"/>
  <c r="O407" i="15"/>
  <c r="L405" i="15"/>
  <c r="O405" i="15" s="1"/>
  <c r="M90" i="14"/>
  <c r="M88" i="14" s="1"/>
  <c r="K287" i="14"/>
  <c r="J721" i="14"/>
  <c r="L788" i="14"/>
  <c r="O788" i="14" s="1"/>
  <c r="O35" i="15"/>
  <c r="L29" i="15"/>
  <c r="N43" i="15"/>
  <c r="N41" i="15" s="1"/>
  <c r="N23" i="15"/>
  <c r="I76" i="15"/>
  <c r="K78" i="15"/>
  <c r="P120" i="15"/>
  <c r="L121" i="15"/>
  <c r="O121" i="15" s="1"/>
  <c r="O124" i="15"/>
  <c r="L122" i="15"/>
  <c r="O122" i="15" s="1"/>
  <c r="O150" i="15"/>
  <c r="M279" i="15"/>
  <c r="M280" i="15"/>
  <c r="P280" i="15" s="1"/>
  <c r="P282" i="15"/>
  <c r="L334" i="15"/>
  <c r="O334" i="15" s="1"/>
  <c r="L330" i="15"/>
  <c r="O336" i="15"/>
  <c r="P630" i="15"/>
  <c r="M629" i="15"/>
  <c r="P629" i="15" s="1"/>
  <c r="L655" i="15"/>
  <c r="O655" i="15" s="1"/>
  <c r="O657" i="15"/>
  <c r="L263" i="11"/>
  <c r="L261" i="11" s="1"/>
  <c r="O58" i="14"/>
  <c r="O189" i="14"/>
  <c r="M404" i="14"/>
  <c r="P404" i="14" s="1"/>
  <c r="P15" i="15"/>
  <c r="M19" i="15"/>
  <c r="L26" i="15"/>
  <c r="L44" i="15"/>
  <c r="O46" i="15"/>
  <c r="P150" i="15"/>
  <c r="L151" i="15"/>
  <c r="O154" i="15"/>
  <c r="L152" i="15"/>
  <c r="O152" i="15" s="1"/>
  <c r="P299" i="15"/>
  <c r="M304" i="15"/>
  <c r="P304" i="15" s="1"/>
  <c r="P306" i="15"/>
  <c r="O424" i="15"/>
  <c r="L421" i="15"/>
  <c r="L422" i="15"/>
  <c r="O422" i="15" s="1"/>
  <c r="O431" i="15"/>
  <c r="L429" i="15"/>
  <c r="O429" i="15" s="1"/>
  <c r="K437" i="15"/>
  <c r="J433" i="15"/>
  <c r="J417" i="15" s="1"/>
  <c r="K417" i="15" s="1"/>
  <c r="N629" i="15"/>
  <c r="K647" i="13"/>
  <c r="O93" i="14"/>
  <c r="K98" i="14"/>
  <c r="I112" i="14"/>
  <c r="K112" i="14" s="1"/>
  <c r="K190" i="14"/>
  <c r="L263" i="14"/>
  <c r="L261" i="14" s="1"/>
  <c r="O269" i="14"/>
  <c r="N404" i="14"/>
  <c r="N402" i="14" s="1"/>
  <c r="L657" i="14"/>
  <c r="L655" i="14" s="1"/>
  <c r="O655" i="14" s="1"/>
  <c r="O660" i="14"/>
  <c r="N19" i="15"/>
  <c r="M44" i="15"/>
  <c r="P74" i="15"/>
  <c r="M26" i="15"/>
  <c r="L94" i="15"/>
  <c r="O94" i="15" s="1"/>
  <c r="I174" i="15"/>
  <c r="K176" i="15"/>
  <c r="L404" i="15"/>
  <c r="M424" i="15"/>
  <c r="O447" i="15"/>
  <c r="P545" i="15"/>
  <c r="K800" i="14"/>
  <c r="O19" i="15"/>
  <c r="N31" i="15"/>
  <c r="N44" i="15"/>
  <c r="O61" i="15"/>
  <c r="L59" i="15"/>
  <c r="O59" i="15" s="1"/>
  <c r="N26" i="15"/>
  <c r="N16" i="15" s="1"/>
  <c r="M94" i="15"/>
  <c r="P94" i="15" s="1"/>
  <c r="L263" i="15"/>
  <c r="L264" i="15"/>
  <c r="O264" i="15" s="1"/>
  <c r="O266" i="15"/>
  <c r="K365" i="15"/>
  <c r="I364" i="15"/>
  <c r="P468" i="15"/>
  <c r="M43" i="14"/>
  <c r="M41" i="14" s="1"/>
  <c r="I87" i="14"/>
  <c r="K87" i="14" s="1"/>
  <c r="L279" i="14"/>
  <c r="O279" i="14" s="1"/>
  <c r="L90" i="15"/>
  <c r="I216" i="15"/>
  <c r="K216" i="15" s="1"/>
  <c r="K224" i="15"/>
  <c r="P316" i="15"/>
  <c r="I654" i="2"/>
  <c r="K654" i="2" s="1"/>
  <c r="K823" i="11"/>
  <c r="L334" i="14"/>
  <c r="O334" i="14" s="1"/>
  <c r="K340" i="14"/>
  <c r="P394" i="14"/>
  <c r="L15" i="15"/>
  <c r="O67" i="15"/>
  <c r="K81" i="15"/>
  <c r="M90" i="15"/>
  <c r="O173" i="15"/>
  <c r="L171" i="15"/>
  <c r="O171" i="15" s="1"/>
  <c r="K288" i="15"/>
  <c r="I275" i="15"/>
  <c r="K275" i="15" s="1"/>
  <c r="O397" i="15"/>
  <c r="L395" i="15"/>
  <c r="O395" i="15" s="1"/>
  <c r="K541" i="15"/>
  <c r="J537" i="15"/>
  <c r="L546" i="15"/>
  <c r="O546" i="15" s="1"/>
  <c r="M549" i="15"/>
  <c r="L547" i="15"/>
  <c r="O547" i="15" s="1"/>
  <c r="K559" i="15"/>
  <c r="J543" i="15"/>
  <c r="P137" i="15"/>
  <c r="I190" i="15"/>
  <c r="K190" i="15" s="1"/>
  <c r="P266" i="15"/>
  <c r="O278" i="15"/>
  <c r="L280" i="15"/>
  <c r="O280" i="15" s="1"/>
  <c r="O282" i="15"/>
  <c r="O299" i="15"/>
  <c r="O316" i="15"/>
  <c r="O351" i="15"/>
  <c r="K362" i="15"/>
  <c r="K372" i="15"/>
  <c r="L770" i="15"/>
  <c r="O770" i="15" s="1"/>
  <c r="O772" i="15"/>
  <c r="K826" i="15"/>
  <c r="M59" i="15"/>
  <c r="P59" i="15" s="1"/>
  <c r="L69" i="15"/>
  <c r="O69" i="15" s="1"/>
  <c r="M122" i="15"/>
  <c r="P122" i="15" s="1"/>
  <c r="L138" i="15"/>
  <c r="M152" i="15"/>
  <c r="P152" i="15" s="1"/>
  <c r="M171" i="15"/>
  <c r="P171" i="15" s="1"/>
  <c r="L300" i="15"/>
  <c r="N404" i="15"/>
  <c r="N402" i="15" s="1"/>
  <c r="N405" i="15"/>
  <c r="L469" i="15"/>
  <c r="O472" i="15"/>
  <c r="N523" i="15"/>
  <c r="K543" i="15"/>
  <c r="I276" i="15"/>
  <c r="K276" i="15" s="1"/>
  <c r="L317" i="15"/>
  <c r="L315" i="15" s="1"/>
  <c r="L318" i="15"/>
  <c r="O318" i="15" s="1"/>
  <c r="N331" i="15"/>
  <c r="O331" i="15" s="1"/>
  <c r="O350" i="15"/>
  <c r="K369" i="15"/>
  <c r="K381" i="15"/>
  <c r="L391" i="15"/>
  <c r="M405" i="15"/>
  <c r="P405" i="15" s="1"/>
  <c r="P420" i="15"/>
  <c r="N444" i="15"/>
  <c r="M472" i="15"/>
  <c r="N547" i="15"/>
  <c r="K594" i="15"/>
  <c r="P755" i="15"/>
  <c r="M754" i="15"/>
  <c r="P754" i="15" s="1"/>
  <c r="M34" i="15"/>
  <c r="P34" i="15" s="1"/>
  <c r="O285" i="15"/>
  <c r="O303" i="15"/>
  <c r="N317" i="15"/>
  <c r="N348" i="15"/>
  <c r="O348" i="15" s="1"/>
  <c r="O353" i="15"/>
  <c r="M391" i="15"/>
  <c r="P391" i="15" s="1"/>
  <c r="P403" i="15"/>
  <c r="L408" i="15"/>
  <c r="O408" i="15" s="1"/>
  <c r="N469" i="15"/>
  <c r="N467" i="15" s="1"/>
  <c r="N414" i="15" s="1"/>
  <c r="N470" i="15"/>
  <c r="N502" i="15"/>
  <c r="K577" i="15"/>
  <c r="K370" i="15"/>
  <c r="O449" i="15"/>
  <c r="O470" i="15"/>
  <c r="L737" i="15"/>
  <c r="O737" i="15" s="1"/>
  <c r="O739" i="15"/>
  <c r="L198" i="15"/>
  <c r="O198" i="15" s="1"/>
  <c r="L238" i="15"/>
  <c r="N300" i="15"/>
  <c r="N301" i="15"/>
  <c r="O301" i="15" s="1"/>
  <c r="O526" i="15"/>
  <c r="N756" i="15"/>
  <c r="N754" i="15" s="1"/>
  <c r="N757" i="15"/>
  <c r="O787" i="15"/>
  <c r="K593" i="15"/>
  <c r="N632" i="15"/>
  <c r="K673" i="15"/>
  <c r="P788" i="15"/>
  <c r="N807" i="15"/>
  <c r="N805" i="15" s="1"/>
  <c r="L631" i="15"/>
  <c r="M685" i="15"/>
  <c r="P685" i="15" s="1"/>
  <c r="N688" i="15"/>
  <c r="L754" i="15"/>
  <c r="O754" i="15" s="1"/>
  <c r="L805" i="15"/>
  <c r="O805" i="15" s="1"/>
  <c r="M805" i="15"/>
  <c r="P805" i="15" s="1"/>
  <c r="O351" i="14"/>
  <c r="O91" i="14"/>
  <c r="L134" i="14"/>
  <c r="O134" i="14" s="1"/>
  <c r="O170" i="14"/>
  <c r="K378" i="14"/>
  <c r="K821" i="14"/>
  <c r="O410" i="13"/>
  <c r="O71" i="14"/>
  <c r="O74" i="14"/>
  <c r="L300" i="14"/>
  <c r="O300" i="14" s="1"/>
  <c r="O306" i="14"/>
  <c r="O353" i="14"/>
  <c r="M391" i="14"/>
  <c r="P391" i="14" s="1"/>
  <c r="J722" i="14"/>
  <c r="L68" i="14"/>
  <c r="O68" i="14" s="1"/>
  <c r="P71" i="14"/>
  <c r="P137" i="14"/>
  <c r="L171" i="14"/>
  <c r="O171" i="14" s="1"/>
  <c r="K193" i="14"/>
  <c r="O266" i="14"/>
  <c r="I275" i="14"/>
  <c r="K275" i="14" s="1"/>
  <c r="J288" i="14"/>
  <c r="J275" i="14" s="1"/>
  <c r="P306" i="14"/>
  <c r="P323" i="14"/>
  <c r="M330" i="14"/>
  <c r="M328" i="14" s="1"/>
  <c r="O350" i="14"/>
  <c r="K379" i="14"/>
  <c r="N391" i="14"/>
  <c r="N389" i="14" s="1"/>
  <c r="N405" i="14"/>
  <c r="L33" i="14"/>
  <c r="L31" i="14" s="1"/>
  <c r="O31" i="14" s="1"/>
  <c r="K672" i="14"/>
  <c r="N151" i="13"/>
  <c r="N149" i="13" s="1"/>
  <c r="M23" i="14"/>
  <c r="O49" i="14"/>
  <c r="P61" i="14"/>
  <c r="M72" i="14"/>
  <c r="P72" i="14" s="1"/>
  <c r="K100" i="14"/>
  <c r="K145" i="14"/>
  <c r="I233" i="14"/>
  <c r="K233" i="14" s="1"/>
  <c r="L230" i="14"/>
  <c r="O320" i="14"/>
  <c r="L347" i="14"/>
  <c r="L345" i="14" s="1"/>
  <c r="L421" i="14"/>
  <c r="L419" i="14" s="1"/>
  <c r="I628" i="14"/>
  <c r="K628" i="14" s="1"/>
  <c r="K674" i="14"/>
  <c r="M321" i="12"/>
  <c r="P321" i="12" s="1"/>
  <c r="L43" i="13"/>
  <c r="L41" i="13" s="1"/>
  <c r="L547" i="13"/>
  <c r="O547" i="13" s="1"/>
  <c r="N23" i="14"/>
  <c r="N13" i="14" s="1"/>
  <c r="P49" i="14"/>
  <c r="M121" i="14"/>
  <c r="P121" i="14" s="1"/>
  <c r="N168" i="14"/>
  <c r="N321" i="14"/>
  <c r="K374" i="14"/>
  <c r="L391" i="14"/>
  <c r="O391" i="14" s="1"/>
  <c r="I654" i="14"/>
  <c r="K654" i="14" s="1"/>
  <c r="P91" i="13"/>
  <c r="L36" i="14"/>
  <c r="O36" i="14" s="1"/>
  <c r="P154" i="14"/>
  <c r="L264" i="14"/>
  <c r="M300" i="14"/>
  <c r="P300" i="14" s="1"/>
  <c r="K381" i="14"/>
  <c r="O61" i="12"/>
  <c r="L59" i="12"/>
  <c r="O59" i="12" s="1"/>
  <c r="L198" i="13"/>
  <c r="O198" i="13" s="1"/>
  <c r="N44" i="14"/>
  <c r="P44" i="14" s="1"/>
  <c r="O46" i="14"/>
  <c r="L125" i="14"/>
  <c r="O125" i="14" s="1"/>
  <c r="L138" i="14"/>
  <c r="O138" i="14" s="1"/>
  <c r="O140" i="14"/>
  <c r="K174" i="14"/>
  <c r="P269" i="14"/>
  <c r="M267" i="14"/>
  <c r="P267" i="14" s="1"/>
  <c r="K822" i="14"/>
  <c r="I208" i="9"/>
  <c r="K208" i="9" s="1"/>
  <c r="I77" i="14"/>
  <c r="I65" i="14" s="1"/>
  <c r="K65" i="14" s="1"/>
  <c r="L321" i="14"/>
  <c r="O321" i="14" s="1"/>
  <c r="O323" i="14"/>
  <c r="I364" i="14"/>
  <c r="L404" i="14"/>
  <c r="L402" i="14" s="1"/>
  <c r="O402" i="14" s="1"/>
  <c r="O407" i="14"/>
  <c r="P58" i="14"/>
  <c r="M348" i="14"/>
  <c r="P348" i="14" s="1"/>
  <c r="M347" i="14"/>
  <c r="M345" i="14" s="1"/>
  <c r="P306" i="12"/>
  <c r="M304" i="12"/>
  <c r="P304" i="12" s="1"/>
  <c r="L546" i="14"/>
  <c r="L544" i="14" s="1"/>
  <c r="M549" i="14"/>
  <c r="P549" i="14" s="1"/>
  <c r="P140" i="14"/>
  <c r="M59" i="14"/>
  <c r="P59" i="14" s="1"/>
  <c r="L408" i="14"/>
  <c r="O408" i="14" s="1"/>
  <c r="O634" i="13"/>
  <c r="M634" i="13"/>
  <c r="M631" i="13" s="1"/>
  <c r="P631" i="13" s="1"/>
  <c r="L94" i="14"/>
  <c r="O94" i="14" s="1"/>
  <c r="O124" i="14"/>
  <c r="L122" i="14"/>
  <c r="O122" i="14" s="1"/>
  <c r="M134" i="14"/>
  <c r="P134" i="14" s="1"/>
  <c r="K143" i="14"/>
  <c r="I131" i="14"/>
  <c r="K131" i="14" s="1"/>
  <c r="L151" i="14"/>
  <c r="O151" i="14" s="1"/>
  <c r="M171" i="14"/>
  <c r="P171" i="14" s="1"/>
  <c r="P173" i="14"/>
  <c r="M167" i="14"/>
  <c r="L283" i="14"/>
  <c r="O283" i="14" s="1"/>
  <c r="O285" i="14"/>
  <c r="L405" i="14"/>
  <c r="O405" i="14" s="1"/>
  <c r="J433" i="14"/>
  <c r="J417" i="14" s="1"/>
  <c r="K417" i="14" s="1"/>
  <c r="L477" i="13"/>
  <c r="O477" i="13" s="1"/>
  <c r="O479" i="13"/>
  <c r="N56" i="14"/>
  <c r="O56" i="14" s="1"/>
  <c r="M122" i="14"/>
  <c r="P122" i="14" s="1"/>
  <c r="P124" i="14"/>
  <c r="L152" i="14"/>
  <c r="O152" i="14" s="1"/>
  <c r="N264" i="14"/>
  <c r="J537" i="14"/>
  <c r="J522" i="14" s="1"/>
  <c r="K540" i="14"/>
  <c r="L547" i="14"/>
  <c r="K362" i="14"/>
  <c r="N55" i="14"/>
  <c r="N53" i="14" s="1"/>
  <c r="M69" i="14"/>
  <c r="P69" i="14" s="1"/>
  <c r="M183" i="14"/>
  <c r="M181" i="14" s="1"/>
  <c r="N300" i="14"/>
  <c r="N298" i="14" s="1"/>
  <c r="K569" i="14"/>
  <c r="K824" i="14"/>
  <c r="J327" i="14"/>
  <c r="K327" i="14" s="1"/>
  <c r="K379" i="13"/>
  <c r="I442" i="13"/>
  <c r="K442" i="13" s="1"/>
  <c r="P46" i="14"/>
  <c r="K176" i="14"/>
  <c r="L317" i="14"/>
  <c r="O317" i="14" s="1"/>
  <c r="K359" i="14"/>
  <c r="P137" i="13"/>
  <c r="L90" i="14"/>
  <c r="L88" i="14" s="1"/>
  <c r="P170" i="14"/>
  <c r="L198" i="14"/>
  <c r="O198" i="14" s="1"/>
  <c r="K360" i="14"/>
  <c r="K370" i="14"/>
  <c r="L395" i="14"/>
  <c r="O395" i="14" s="1"/>
  <c r="K465" i="14"/>
  <c r="O791" i="14"/>
  <c r="J722" i="12"/>
  <c r="L392" i="14"/>
  <c r="O392" i="14" s="1"/>
  <c r="P189" i="13"/>
  <c r="J722" i="13"/>
  <c r="L228" i="14"/>
  <c r="P410" i="14"/>
  <c r="K435" i="14"/>
  <c r="L631" i="14"/>
  <c r="O631" i="14" s="1"/>
  <c r="O634" i="14"/>
  <c r="K669" i="14"/>
  <c r="M9" i="14"/>
  <c r="P12" i="14"/>
  <c r="O9" i="14"/>
  <c r="M90" i="13"/>
  <c r="K385" i="13"/>
  <c r="L404" i="13"/>
  <c r="M549" i="13"/>
  <c r="M546" i="13" s="1"/>
  <c r="P546" i="13" s="1"/>
  <c r="O12" i="14"/>
  <c r="N26" i="14"/>
  <c r="N16" i="14" s="1"/>
  <c r="M26" i="14"/>
  <c r="O61" i="14"/>
  <c r="N135" i="14"/>
  <c r="N134" i="14"/>
  <c r="N132" i="14" s="1"/>
  <c r="M151" i="14"/>
  <c r="M152" i="14"/>
  <c r="I208" i="14"/>
  <c r="K208" i="14" s="1"/>
  <c r="K215" i="14"/>
  <c r="M125" i="13"/>
  <c r="P125" i="13" s="1"/>
  <c r="M152" i="13"/>
  <c r="P152" i="13" s="1"/>
  <c r="L238" i="13"/>
  <c r="O238" i="13" s="1"/>
  <c r="O15" i="14"/>
  <c r="N31" i="14"/>
  <c r="N29" i="14"/>
  <c r="N28" i="14" s="1"/>
  <c r="P127" i="14"/>
  <c r="M125" i="14"/>
  <c r="P125" i="14" s="1"/>
  <c r="N419" i="14"/>
  <c r="P186" i="10"/>
  <c r="L90" i="13"/>
  <c r="L88" i="13" s="1"/>
  <c r="I260" i="13"/>
  <c r="K260" i="13" s="1"/>
  <c r="M300" i="13"/>
  <c r="M298" i="13" s="1"/>
  <c r="K374" i="13"/>
  <c r="K83" i="14"/>
  <c r="I148" i="14"/>
  <c r="K148" i="14" s="1"/>
  <c r="O157" i="14"/>
  <c r="N267" i="14"/>
  <c r="N263" i="14"/>
  <c r="N15" i="14"/>
  <c r="O25" i="14"/>
  <c r="L55" i="14"/>
  <c r="L53" i="14" s="1"/>
  <c r="N90" i="14"/>
  <c r="P93" i="14"/>
  <c r="M91" i="14"/>
  <c r="P91" i="14" s="1"/>
  <c r="P133" i="14"/>
  <c r="L167" i="14"/>
  <c r="L168" i="14"/>
  <c r="P333" i="14"/>
  <c r="N330" i="14"/>
  <c r="N331" i="14"/>
  <c r="P331" i="14" s="1"/>
  <c r="O333" i="14"/>
  <c r="L631" i="12"/>
  <c r="O631" i="12" s="1"/>
  <c r="N43" i="13"/>
  <c r="L121" i="13"/>
  <c r="O121" i="13" s="1"/>
  <c r="L209" i="13"/>
  <c r="O209" i="13" s="1"/>
  <c r="K359" i="13"/>
  <c r="M395" i="13"/>
  <c r="P395" i="13" s="1"/>
  <c r="K823" i="13"/>
  <c r="L19" i="14"/>
  <c r="P22" i="14"/>
  <c r="M56" i="14"/>
  <c r="M55" i="14"/>
  <c r="O67" i="14"/>
  <c r="N72" i="14"/>
  <c r="I76" i="14"/>
  <c r="J143" i="14"/>
  <c r="J131" i="14" s="1"/>
  <c r="P182" i="14"/>
  <c r="N183" i="14"/>
  <c r="N181" i="14" s="1"/>
  <c r="P186" i="14"/>
  <c r="O186" i="14"/>
  <c r="N184" i="14"/>
  <c r="P184" i="14" s="1"/>
  <c r="P19" i="14"/>
  <c r="L238" i="14"/>
  <c r="L229" i="14"/>
  <c r="O323" i="13"/>
  <c r="K378" i="13"/>
  <c r="P29" i="14"/>
  <c r="L44" i="14"/>
  <c r="L43" i="14"/>
  <c r="L23" i="14"/>
  <c r="O137" i="14"/>
  <c r="L135" i="14"/>
  <c r="O135" i="14" s="1"/>
  <c r="O150" i="14"/>
  <c r="J143" i="13"/>
  <c r="J131" i="13" s="1"/>
  <c r="K131" i="13" s="1"/>
  <c r="L26" i="14"/>
  <c r="L24" i="14" s="1"/>
  <c r="N43" i="14"/>
  <c r="N41" i="14" s="1"/>
  <c r="O54" i="14"/>
  <c r="M94" i="14"/>
  <c r="P94" i="14" s="1"/>
  <c r="I260" i="14"/>
  <c r="K260" i="14" s="1"/>
  <c r="M263" i="14"/>
  <c r="P266" i="14"/>
  <c r="M264" i="14"/>
  <c r="M405" i="14"/>
  <c r="P405" i="14" s="1"/>
  <c r="P407" i="14"/>
  <c r="J594" i="14"/>
  <c r="K594" i="14" s="1"/>
  <c r="L737" i="14"/>
  <c r="O737" i="14" s="1"/>
  <c r="O739" i="14"/>
  <c r="N12" i="14"/>
  <c r="N122" i="14"/>
  <c r="N152" i="14"/>
  <c r="L209" i="14"/>
  <c r="O209" i="14" s="1"/>
  <c r="N279" i="14"/>
  <c r="N277" i="14" s="1"/>
  <c r="N280" i="14"/>
  <c r="L301" i="14"/>
  <c r="O301" i="14" s="1"/>
  <c r="O303" i="14"/>
  <c r="I314" i="14"/>
  <c r="K314" i="14" s="1"/>
  <c r="M317" i="14"/>
  <c r="P320" i="14"/>
  <c r="M318" i="14"/>
  <c r="P318" i="14" s="1"/>
  <c r="P336" i="14"/>
  <c r="M334" i="14"/>
  <c r="P334" i="14" s="1"/>
  <c r="J355" i="14"/>
  <c r="K355" i="14" s="1"/>
  <c r="M395" i="14"/>
  <c r="P395" i="14" s="1"/>
  <c r="P397" i="14"/>
  <c r="O424" i="14"/>
  <c r="P524" i="14"/>
  <c r="M523" i="14"/>
  <c r="P523" i="14" s="1"/>
  <c r="N546" i="14"/>
  <c r="N544" i="14" s="1"/>
  <c r="O557" i="14"/>
  <c r="L555" i="14"/>
  <c r="O555" i="14" s="1"/>
  <c r="P755" i="14"/>
  <c r="M754" i="14"/>
  <c r="P754" i="14" s="1"/>
  <c r="K576" i="14"/>
  <c r="J559" i="14"/>
  <c r="J543" i="14" s="1"/>
  <c r="O787" i="14"/>
  <c r="O806" i="14"/>
  <c r="L805" i="14"/>
  <c r="O805" i="14" s="1"/>
  <c r="J364" i="14"/>
  <c r="K365" i="14"/>
  <c r="O390" i="14"/>
  <c r="I443" i="14"/>
  <c r="K443" i="14" s="1"/>
  <c r="K462" i="14"/>
  <c r="L469" i="14"/>
  <c r="O472" i="14"/>
  <c r="M472" i="14"/>
  <c r="L470" i="14"/>
  <c r="L525" i="14"/>
  <c r="L526" i="14"/>
  <c r="O526" i="14" s="1"/>
  <c r="O549" i="14"/>
  <c r="N547" i="14"/>
  <c r="L770" i="14"/>
  <c r="O770" i="14" s="1"/>
  <c r="O772" i="14"/>
  <c r="M34" i="14"/>
  <c r="P34" i="14" s="1"/>
  <c r="M155" i="14"/>
  <c r="P155" i="14" s="1"/>
  <c r="M168" i="14"/>
  <c r="P278" i="14"/>
  <c r="K309" i="14"/>
  <c r="I297" i="14"/>
  <c r="K297" i="14" s="1"/>
  <c r="O348" i="14"/>
  <c r="K385" i="14"/>
  <c r="N421" i="14"/>
  <c r="N422" i="14"/>
  <c r="O422" i="14" s="1"/>
  <c r="N447" i="14"/>
  <c r="P468" i="14"/>
  <c r="N469" i="14"/>
  <c r="N467" i="14" s="1"/>
  <c r="N470" i="14"/>
  <c r="P503" i="14"/>
  <c r="M502" i="14"/>
  <c r="P502" i="14" s="1"/>
  <c r="K592" i="14"/>
  <c r="N786" i="14"/>
  <c r="I248" i="14"/>
  <c r="K255" i="14"/>
  <c r="O262" i="14"/>
  <c r="P353" i="14"/>
  <c r="M351" i="14"/>
  <c r="P351" i="14" s="1"/>
  <c r="N756" i="14"/>
  <c r="N754" i="14" s="1"/>
  <c r="N757" i="14"/>
  <c r="L183" i="14"/>
  <c r="P189" i="14"/>
  <c r="I216" i="14"/>
  <c r="K216" i="14" s="1"/>
  <c r="L249" i="14"/>
  <c r="O249" i="14" s="1"/>
  <c r="O316" i="14"/>
  <c r="K338" i="14"/>
  <c r="P350" i="14"/>
  <c r="N347" i="14"/>
  <c r="O420" i="14"/>
  <c r="N444" i="14"/>
  <c r="L280" i="14"/>
  <c r="O280" i="14" s="1"/>
  <c r="O282" i="14"/>
  <c r="M301" i="14"/>
  <c r="P301" i="14" s="1"/>
  <c r="P303" i="14"/>
  <c r="O456" i="14"/>
  <c r="L454" i="14"/>
  <c r="O454" i="14" s="1"/>
  <c r="N504" i="14"/>
  <c r="N502" i="14" s="1"/>
  <c r="N505" i="14"/>
  <c r="N788" i="14"/>
  <c r="N789" i="14"/>
  <c r="M805" i="14"/>
  <c r="P805" i="14" s="1"/>
  <c r="P807" i="14"/>
  <c r="O449" i="14"/>
  <c r="K593" i="14"/>
  <c r="M629" i="14"/>
  <c r="P629" i="14" s="1"/>
  <c r="N632" i="14"/>
  <c r="K673" i="14"/>
  <c r="P788" i="14"/>
  <c r="I442" i="14"/>
  <c r="K442" i="14" s="1"/>
  <c r="I543" i="14"/>
  <c r="L687" i="14"/>
  <c r="O687" i="14" s="1"/>
  <c r="K244" i="14"/>
  <c r="I434" i="14"/>
  <c r="L533" i="14"/>
  <c r="O533" i="14" s="1"/>
  <c r="L477" i="14"/>
  <c r="O477" i="14" s="1"/>
  <c r="L429" i="14"/>
  <c r="O429" i="14" s="1"/>
  <c r="N90" i="13"/>
  <c r="N88" i="13" s="1"/>
  <c r="K672" i="13"/>
  <c r="O431" i="11"/>
  <c r="L134" i="12"/>
  <c r="O134" i="12" s="1"/>
  <c r="K372" i="12"/>
  <c r="M55" i="13"/>
  <c r="M53" i="13" s="1"/>
  <c r="O331" i="13"/>
  <c r="P394" i="13"/>
  <c r="K560" i="13"/>
  <c r="K593" i="13"/>
  <c r="K674" i="13"/>
  <c r="K822" i="13"/>
  <c r="P59" i="12"/>
  <c r="L391" i="12"/>
  <c r="O391" i="12" s="1"/>
  <c r="P93" i="13"/>
  <c r="N134" i="13"/>
  <c r="N132" i="13" s="1"/>
  <c r="P184" i="13"/>
  <c r="N300" i="13"/>
  <c r="L392" i="13"/>
  <c r="O392" i="13" s="1"/>
  <c r="K561" i="13"/>
  <c r="K669" i="13"/>
  <c r="K159" i="12"/>
  <c r="L33" i="13"/>
  <c r="L31" i="13" s="1"/>
  <c r="O46" i="13"/>
  <c r="M121" i="13"/>
  <c r="P121" i="13" s="1"/>
  <c r="L134" i="13"/>
  <c r="L132" i="13" s="1"/>
  <c r="L230" i="13"/>
  <c r="I314" i="13"/>
  <c r="K314" i="13" s="1"/>
  <c r="O333" i="13"/>
  <c r="N347" i="13"/>
  <c r="N345" i="13" s="1"/>
  <c r="J537" i="13"/>
  <c r="J522" i="13" s="1"/>
  <c r="K522" i="13" s="1"/>
  <c r="J721" i="13"/>
  <c r="K362" i="11"/>
  <c r="K338" i="12"/>
  <c r="K370" i="12"/>
  <c r="P58" i="13"/>
  <c r="P140" i="13"/>
  <c r="L167" i="13"/>
  <c r="L165" i="13" s="1"/>
  <c r="P173" i="13"/>
  <c r="M183" i="13"/>
  <c r="M181" i="13" s="1"/>
  <c r="P266" i="13"/>
  <c r="L317" i="13"/>
  <c r="L315" i="13" s="1"/>
  <c r="K340" i="13"/>
  <c r="P350" i="13"/>
  <c r="K828" i="13"/>
  <c r="I76" i="13"/>
  <c r="K76" i="13" s="1"/>
  <c r="O137" i="13"/>
  <c r="L546" i="13"/>
  <c r="O546" i="13" s="1"/>
  <c r="K821" i="13"/>
  <c r="K460" i="12"/>
  <c r="P168" i="13"/>
  <c r="K193" i="13"/>
  <c r="K215" i="13"/>
  <c r="K309" i="13"/>
  <c r="O56" i="13"/>
  <c r="J143" i="10"/>
  <c r="J131" i="10" s="1"/>
  <c r="N134" i="12"/>
  <c r="N132" i="12" s="1"/>
  <c r="L72" i="13"/>
  <c r="O72" i="13" s="1"/>
  <c r="K78" i="13"/>
  <c r="L26" i="13"/>
  <c r="L24" i="13" s="1"/>
  <c r="L135" i="13"/>
  <c r="K146" i="13"/>
  <c r="O154" i="13"/>
  <c r="M167" i="13"/>
  <c r="M165" i="13" s="1"/>
  <c r="P170" i="13"/>
  <c r="P186" i="13"/>
  <c r="P269" i="11"/>
  <c r="K369" i="12"/>
  <c r="L55" i="13"/>
  <c r="L53" i="13" s="1"/>
  <c r="M68" i="13"/>
  <c r="P68" i="13" s="1"/>
  <c r="M72" i="13"/>
  <c r="P72" i="13" s="1"/>
  <c r="N68" i="13"/>
  <c r="N66" i="13" s="1"/>
  <c r="L23" i="13"/>
  <c r="L21" i="13" s="1"/>
  <c r="N135" i="13"/>
  <c r="L151" i="13"/>
  <c r="P157" i="13"/>
  <c r="N167" i="13"/>
  <c r="N183" i="13"/>
  <c r="L267" i="13"/>
  <c r="O267" i="13" s="1"/>
  <c r="O269" i="13"/>
  <c r="L263" i="13"/>
  <c r="L261" i="13" s="1"/>
  <c r="N68" i="12"/>
  <c r="N66" i="12" s="1"/>
  <c r="K362" i="12"/>
  <c r="M26" i="13"/>
  <c r="M16" i="13" s="1"/>
  <c r="M14" i="13" s="1"/>
  <c r="L138" i="13"/>
  <c r="O138" i="13" s="1"/>
  <c r="O140" i="13"/>
  <c r="P269" i="13"/>
  <c r="M267" i="13"/>
  <c r="P267" i="13" s="1"/>
  <c r="M283" i="13"/>
  <c r="P283" i="13" s="1"/>
  <c r="P285" i="13"/>
  <c r="K370" i="13"/>
  <c r="P71" i="12"/>
  <c r="P124" i="12"/>
  <c r="L44" i="13"/>
  <c r="M56" i="13"/>
  <c r="P56" i="13" s="1"/>
  <c r="O58" i="13"/>
  <c r="O96" i="13"/>
  <c r="N121" i="13"/>
  <c r="N119" i="13" s="1"/>
  <c r="M138" i="13"/>
  <c r="P138" i="13" s="1"/>
  <c r="K159" i="13"/>
  <c r="I364" i="13"/>
  <c r="M121" i="12"/>
  <c r="P121" i="12" s="1"/>
  <c r="L125" i="12"/>
  <c r="O125" i="12" s="1"/>
  <c r="N44" i="13"/>
  <c r="P44" i="13" s="1"/>
  <c r="P46" i="13"/>
  <c r="O266" i="13"/>
  <c r="L348" i="13"/>
  <c r="O348" i="13" s="1"/>
  <c r="O350" i="13"/>
  <c r="N321" i="13"/>
  <c r="P321" i="13" s="1"/>
  <c r="N317" i="13"/>
  <c r="M135" i="11"/>
  <c r="P135" i="11" s="1"/>
  <c r="L122" i="12"/>
  <c r="O122" i="12" s="1"/>
  <c r="O331" i="12"/>
  <c r="L421" i="12"/>
  <c r="L419" i="12" s="1"/>
  <c r="L47" i="13"/>
  <c r="O47" i="13" s="1"/>
  <c r="L59" i="13"/>
  <c r="O59" i="13" s="1"/>
  <c r="P282" i="13"/>
  <c r="M279" i="13"/>
  <c r="P279" i="13" s="1"/>
  <c r="L687" i="13"/>
  <c r="O687" i="13" s="1"/>
  <c r="L688" i="13"/>
  <c r="O688" i="13" s="1"/>
  <c r="O690" i="13"/>
  <c r="I112" i="12"/>
  <c r="K112" i="12" s="1"/>
  <c r="O353" i="12"/>
  <c r="M134" i="13"/>
  <c r="M151" i="13"/>
  <c r="P151" i="13" s="1"/>
  <c r="K338" i="13"/>
  <c r="L231" i="13"/>
  <c r="I275" i="13"/>
  <c r="K275" i="13" s="1"/>
  <c r="J288" i="13"/>
  <c r="J275" i="13" s="1"/>
  <c r="L304" i="13"/>
  <c r="O304" i="13" s="1"/>
  <c r="P306" i="13"/>
  <c r="K362" i="13"/>
  <c r="K369" i="13"/>
  <c r="M424" i="13"/>
  <c r="P424" i="13" s="1"/>
  <c r="K651" i="13"/>
  <c r="L657" i="13"/>
  <c r="L655" i="13" s="1"/>
  <c r="O655" i="13" s="1"/>
  <c r="K824" i="13"/>
  <c r="O424" i="13"/>
  <c r="L788" i="13"/>
  <c r="O788" i="13" s="1"/>
  <c r="K800" i="13"/>
  <c r="L525" i="13"/>
  <c r="O525" i="13" s="1"/>
  <c r="L217" i="13"/>
  <c r="O217" i="13" s="1"/>
  <c r="N263" i="13"/>
  <c r="N261" i="13" s="1"/>
  <c r="L283" i="13"/>
  <c r="O283" i="13" s="1"/>
  <c r="M347" i="13"/>
  <c r="K360" i="13"/>
  <c r="O407" i="13"/>
  <c r="I443" i="13"/>
  <c r="K443" i="13" s="1"/>
  <c r="K541" i="13"/>
  <c r="O660" i="13"/>
  <c r="O264" i="13"/>
  <c r="O528" i="13"/>
  <c r="L631" i="13"/>
  <c r="L629" i="13" s="1"/>
  <c r="O629" i="13" s="1"/>
  <c r="L789" i="13"/>
  <c r="O789" i="13" s="1"/>
  <c r="L330" i="13"/>
  <c r="L328" i="13" s="1"/>
  <c r="J327" i="13"/>
  <c r="K327" i="13" s="1"/>
  <c r="K381" i="13"/>
  <c r="L391" i="13"/>
  <c r="O391" i="13" s="1"/>
  <c r="L405" i="13"/>
  <c r="O405" i="13" s="1"/>
  <c r="K628" i="13"/>
  <c r="K827" i="13"/>
  <c r="L249" i="13"/>
  <c r="O249" i="13" s="1"/>
  <c r="P348" i="13"/>
  <c r="L526" i="13"/>
  <c r="O526" i="13" s="1"/>
  <c r="P67" i="13"/>
  <c r="M66" i="13"/>
  <c r="P66" i="13" s="1"/>
  <c r="I77" i="13"/>
  <c r="K79" i="13"/>
  <c r="O186" i="13"/>
  <c r="L184" i="13"/>
  <c r="O184" i="13" s="1"/>
  <c r="L347" i="13"/>
  <c r="L351" i="13"/>
  <c r="O351" i="13" s="1"/>
  <c r="O524" i="13"/>
  <c r="P46" i="12"/>
  <c r="L90" i="12"/>
  <c r="L88" i="12" s="1"/>
  <c r="K146" i="12"/>
  <c r="K385" i="12"/>
  <c r="L533" i="12"/>
  <c r="O533" i="12" s="1"/>
  <c r="M19" i="13"/>
  <c r="N31" i="13"/>
  <c r="P89" i="13"/>
  <c r="L94" i="13"/>
  <c r="O94" i="13" s="1"/>
  <c r="K100" i="13"/>
  <c r="O157" i="13"/>
  <c r="L155" i="13"/>
  <c r="O155" i="13" s="1"/>
  <c r="O320" i="13"/>
  <c r="L318" i="13"/>
  <c r="O318" i="13" s="1"/>
  <c r="O329" i="13"/>
  <c r="N391" i="13"/>
  <c r="N389" i="13" s="1"/>
  <c r="N395" i="13"/>
  <c r="L36" i="13"/>
  <c r="O36" i="13" s="1"/>
  <c r="L429" i="13"/>
  <c r="O429" i="13" s="1"/>
  <c r="O431" i="13"/>
  <c r="O456" i="13"/>
  <c r="L454" i="13"/>
  <c r="O454" i="13" s="1"/>
  <c r="L446" i="13"/>
  <c r="P660" i="13"/>
  <c r="M658" i="13"/>
  <c r="M657" i="13"/>
  <c r="P61" i="12"/>
  <c r="N69" i="12"/>
  <c r="O96" i="12"/>
  <c r="N19" i="13"/>
  <c r="M94" i="13"/>
  <c r="P94" i="13" s="1"/>
  <c r="L122" i="13"/>
  <c r="O122" i="13" s="1"/>
  <c r="O127" i="13"/>
  <c r="L125" i="13"/>
  <c r="O125" i="13" s="1"/>
  <c r="K244" i="13"/>
  <c r="I237" i="13"/>
  <c r="I233" i="13"/>
  <c r="K233" i="13" s="1"/>
  <c r="O262" i="13"/>
  <c r="N267" i="13"/>
  <c r="M317" i="13"/>
  <c r="M318" i="13"/>
  <c r="P318" i="13" s="1"/>
  <c r="P320" i="13"/>
  <c r="P336" i="13"/>
  <c r="M334" i="13"/>
  <c r="P334" i="13" s="1"/>
  <c r="P445" i="13"/>
  <c r="O89" i="13"/>
  <c r="L90" i="10"/>
  <c r="L88" i="10" s="1"/>
  <c r="P96" i="12"/>
  <c r="L263" i="12"/>
  <c r="L261" i="12" s="1"/>
  <c r="K340" i="12"/>
  <c r="L9" i="13"/>
  <c r="M12" i="13"/>
  <c r="N15" i="13"/>
  <c r="N34" i="13"/>
  <c r="L68" i="13"/>
  <c r="O68" i="13" s="1"/>
  <c r="O71" i="13"/>
  <c r="N94" i="13"/>
  <c r="P96" i="13"/>
  <c r="M122" i="13"/>
  <c r="P122" i="13" s="1"/>
  <c r="O124" i="13"/>
  <c r="N152" i="13"/>
  <c r="O166" i="13"/>
  <c r="O173" i="13"/>
  <c r="K287" i="13"/>
  <c r="O353" i="13"/>
  <c r="K365" i="13"/>
  <c r="J364" i="13"/>
  <c r="L395" i="13"/>
  <c r="O395" i="13" s="1"/>
  <c r="L421" i="13"/>
  <c r="O421" i="13" s="1"/>
  <c r="N444" i="13"/>
  <c r="N446" i="13"/>
  <c r="N447" i="13"/>
  <c r="O447" i="13" s="1"/>
  <c r="O140" i="12"/>
  <c r="L155" i="12"/>
  <c r="O155" i="12" s="1"/>
  <c r="O170" i="12"/>
  <c r="L231" i="12"/>
  <c r="L249" i="12"/>
  <c r="O249" i="12" s="1"/>
  <c r="L300" i="12"/>
  <c r="O300" i="12" s="1"/>
  <c r="K360" i="12"/>
  <c r="K365" i="12"/>
  <c r="L36" i="12"/>
  <c r="O36" i="12" s="1"/>
  <c r="L639" i="12"/>
  <c r="O639" i="12" s="1"/>
  <c r="K822" i="12"/>
  <c r="N12" i="13"/>
  <c r="M43" i="13"/>
  <c r="P71" i="13"/>
  <c r="M69" i="13"/>
  <c r="P69" i="13" s="1"/>
  <c r="N122" i="13"/>
  <c r="P124" i="13"/>
  <c r="K145" i="13"/>
  <c r="P166" i="13"/>
  <c r="O182" i="13"/>
  <c r="O189" i="13"/>
  <c r="O282" i="13"/>
  <c r="L280" i="13"/>
  <c r="O280" i="13" s="1"/>
  <c r="N330" i="13"/>
  <c r="N328" i="13" s="1"/>
  <c r="P333" i="13"/>
  <c r="K372" i="13"/>
  <c r="M408" i="13"/>
  <c r="P408" i="13" s="1"/>
  <c r="P410" i="13"/>
  <c r="J433" i="13"/>
  <c r="J417" i="13" s="1"/>
  <c r="I433" i="13"/>
  <c r="N68" i="11"/>
  <c r="N66" i="11" s="1"/>
  <c r="J722" i="11"/>
  <c r="P140" i="12"/>
  <c r="M155" i="12"/>
  <c r="P155" i="12" s="1"/>
  <c r="L229" i="12"/>
  <c r="M408" i="12"/>
  <c r="P408" i="12" s="1"/>
  <c r="M23" i="13"/>
  <c r="M21" i="13" s="1"/>
  <c r="N26" i="13"/>
  <c r="N16" i="13" s="1"/>
  <c r="L29" i="13"/>
  <c r="N55" i="13"/>
  <c r="N53" i="13" s="1"/>
  <c r="O61" i="13"/>
  <c r="O93" i="13"/>
  <c r="L91" i="13"/>
  <c r="O91" i="13" s="1"/>
  <c r="O133" i="13"/>
  <c r="P182" i="13"/>
  <c r="L228" i="13"/>
  <c r="P323" i="13"/>
  <c r="M330" i="13"/>
  <c r="P407" i="13"/>
  <c r="M404" i="13"/>
  <c r="M405" i="13"/>
  <c r="P405" i="13" s="1"/>
  <c r="K701" i="8"/>
  <c r="M43" i="10"/>
  <c r="M41" i="10" s="1"/>
  <c r="P46" i="11"/>
  <c r="L121" i="12"/>
  <c r="O121" i="12" s="1"/>
  <c r="L135" i="12"/>
  <c r="O135" i="12" s="1"/>
  <c r="K176" i="12"/>
  <c r="K288" i="12"/>
  <c r="K674" i="12"/>
  <c r="K823" i="12"/>
  <c r="K827" i="12"/>
  <c r="N23" i="13"/>
  <c r="M29" i="13"/>
  <c r="M34" i="13"/>
  <c r="P34" i="13" s="1"/>
  <c r="P61" i="13"/>
  <c r="L69" i="13"/>
  <c r="O69" i="13" s="1"/>
  <c r="K176" i="13"/>
  <c r="I174" i="13"/>
  <c r="L279" i="13"/>
  <c r="L300" i="13"/>
  <c r="O303" i="13"/>
  <c r="L301" i="13"/>
  <c r="O301" i="13" s="1"/>
  <c r="P331" i="13"/>
  <c r="O390" i="13"/>
  <c r="N404" i="13"/>
  <c r="N402" i="13" s="1"/>
  <c r="N405" i="13"/>
  <c r="P168" i="10"/>
  <c r="P49" i="13"/>
  <c r="M47" i="13"/>
  <c r="P47" i="13" s="1"/>
  <c r="O67" i="13"/>
  <c r="O170" i="13"/>
  <c r="L168" i="13"/>
  <c r="O168" i="13" s="1"/>
  <c r="L183" i="13"/>
  <c r="P303" i="13"/>
  <c r="M301" i="13"/>
  <c r="P301" i="13" s="1"/>
  <c r="O420" i="13"/>
  <c r="L469" i="13"/>
  <c r="O469" i="13" s="1"/>
  <c r="O472" i="13"/>
  <c r="M472" i="13"/>
  <c r="L470" i="13"/>
  <c r="O470" i="13" s="1"/>
  <c r="P503" i="13"/>
  <c r="N756" i="13"/>
  <c r="N754" i="13" s="1"/>
  <c r="N757" i="13"/>
  <c r="I248" i="13"/>
  <c r="K248" i="13" s="1"/>
  <c r="L334" i="13"/>
  <c r="O334" i="13" s="1"/>
  <c r="J355" i="13"/>
  <c r="K355" i="13" s="1"/>
  <c r="K438" i="13"/>
  <c r="I434" i="13"/>
  <c r="O557" i="13"/>
  <c r="L555" i="13"/>
  <c r="O555" i="13" s="1"/>
  <c r="M805" i="13"/>
  <c r="P805" i="13" s="1"/>
  <c r="P807" i="13"/>
  <c r="M263" i="13"/>
  <c r="M264" i="13"/>
  <c r="P264" i="13" s="1"/>
  <c r="N279" i="13"/>
  <c r="N277" i="13" s="1"/>
  <c r="N280" i="13"/>
  <c r="O316" i="13"/>
  <c r="M391" i="13"/>
  <c r="P391" i="13" s="1"/>
  <c r="O449" i="13"/>
  <c r="P524" i="13"/>
  <c r="O787" i="13"/>
  <c r="I112" i="13"/>
  <c r="K112" i="13" s="1"/>
  <c r="L229" i="13"/>
  <c r="P278" i="13"/>
  <c r="M280" i="13"/>
  <c r="P280" i="13" s="1"/>
  <c r="M449" i="13"/>
  <c r="M528" i="13"/>
  <c r="K569" i="13"/>
  <c r="K592" i="13"/>
  <c r="P353" i="13"/>
  <c r="M351" i="13"/>
  <c r="P351" i="13" s="1"/>
  <c r="P468" i="13"/>
  <c r="O503" i="13"/>
  <c r="L502" i="13"/>
  <c r="O502" i="13" s="1"/>
  <c r="P755" i="13"/>
  <c r="M754" i="13"/>
  <c r="P754" i="13" s="1"/>
  <c r="L770" i="13"/>
  <c r="O770" i="13" s="1"/>
  <c r="O772" i="13"/>
  <c r="O641" i="13"/>
  <c r="L639" i="13"/>
  <c r="O639" i="13" s="1"/>
  <c r="L737" i="13"/>
  <c r="O737" i="13" s="1"/>
  <c r="O739" i="13"/>
  <c r="N657" i="13"/>
  <c r="N655" i="13" s="1"/>
  <c r="K673" i="13"/>
  <c r="P788" i="13"/>
  <c r="M685" i="13"/>
  <c r="P685" i="13" s="1"/>
  <c r="L754" i="13"/>
  <c r="O754" i="13" s="1"/>
  <c r="O807" i="13"/>
  <c r="I559" i="13"/>
  <c r="J654" i="13"/>
  <c r="K654" i="13" s="1"/>
  <c r="N422" i="13"/>
  <c r="O422" i="13" s="1"/>
  <c r="L533" i="13"/>
  <c r="O533" i="13" s="1"/>
  <c r="M545" i="13"/>
  <c r="L658" i="13"/>
  <c r="O658" i="13" s="1"/>
  <c r="N658" i="13"/>
  <c r="N90" i="12"/>
  <c r="N88" i="12" s="1"/>
  <c r="K115" i="12"/>
  <c r="L454" i="12"/>
  <c r="O454" i="12" s="1"/>
  <c r="O456" i="12"/>
  <c r="P269" i="12"/>
  <c r="I522" i="12"/>
  <c r="K522" i="12" s="1"/>
  <c r="K374" i="11"/>
  <c r="O410" i="11"/>
  <c r="M125" i="12"/>
  <c r="P125" i="12" s="1"/>
  <c r="K215" i="12"/>
  <c r="P266" i="12"/>
  <c r="J327" i="12"/>
  <c r="K327" i="12" s="1"/>
  <c r="I364" i="11"/>
  <c r="M43" i="12"/>
  <c r="M41" i="12" s="1"/>
  <c r="M47" i="12"/>
  <c r="P47" i="12" s="1"/>
  <c r="O49" i="12"/>
  <c r="I87" i="12"/>
  <c r="K87" i="12" s="1"/>
  <c r="L91" i="12"/>
  <c r="L151" i="12"/>
  <c r="O151" i="12" s="1"/>
  <c r="N183" i="12"/>
  <c r="N181" i="12" s="1"/>
  <c r="O266" i="12"/>
  <c r="I275" i="12"/>
  <c r="K275" i="12" s="1"/>
  <c r="K381" i="12"/>
  <c r="L404" i="12"/>
  <c r="M424" i="12"/>
  <c r="P424" i="12" s="1"/>
  <c r="O431" i="12"/>
  <c r="K651" i="12"/>
  <c r="L657" i="12"/>
  <c r="L655" i="12" s="1"/>
  <c r="O655" i="12" s="1"/>
  <c r="M405" i="10"/>
  <c r="P405" i="10" s="1"/>
  <c r="K651" i="11"/>
  <c r="M23" i="12"/>
  <c r="M21" i="12" s="1"/>
  <c r="N43" i="12"/>
  <c r="N41" i="12" s="1"/>
  <c r="M151" i="12"/>
  <c r="P151" i="12" s="1"/>
  <c r="O154" i="12"/>
  <c r="L168" i="12"/>
  <c r="O168" i="12" s="1"/>
  <c r="L187" i="12"/>
  <c r="O187" i="12" s="1"/>
  <c r="N263" i="12"/>
  <c r="N261" i="12" s="1"/>
  <c r="L301" i="12"/>
  <c r="O301" i="12" s="1"/>
  <c r="O303" i="12"/>
  <c r="O306" i="12"/>
  <c r="N317" i="12"/>
  <c r="N315" i="12" s="1"/>
  <c r="K824" i="12"/>
  <c r="I87" i="10"/>
  <c r="K87" i="10" s="1"/>
  <c r="I148" i="11"/>
  <c r="K148" i="11" s="1"/>
  <c r="N55" i="12"/>
  <c r="N53" i="12" s="1"/>
  <c r="M152" i="12"/>
  <c r="P152" i="12" s="1"/>
  <c r="L171" i="12"/>
  <c r="O171" i="12" s="1"/>
  <c r="L264" i="12"/>
  <c r="K287" i="12"/>
  <c r="O333" i="12"/>
  <c r="N347" i="12"/>
  <c r="N345" i="12" s="1"/>
  <c r="J364" i="12"/>
  <c r="I434" i="12"/>
  <c r="I559" i="12"/>
  <c r="K821" i="12"/>
  <c r="K828" i="12"/>
  <c r="I77" i="12"/>
  <c r="I65" i="12" s="1"/>
  <c r="K65" i="12" s="1"/>
  <c r="L217" i="12"/>
  <c r="O217" i="12" s="1"/>
  <c r="P331" i="12"/>
  <c r="L334" i="12"/>
  <c r="O334" i="12" s="1"/>
  <c r="K359" i="12"/>
  <c r="K355" i="12"/>
  <c r="I164" i="12"/>
  <c r="K164" i="12" s="1"/>
  <c r="K174" i="12"/>
  <c r="K193" i="9"/>
  <c r="I130" i="10"/>
  <c r="K130" i="10" s="1"/>
  <c r="I112" i="11"/>
  <c r="K112" i="11" s="1"/>
  <c r="L657" i="11"/>
  <c r="L655" i="11" s="1"/>
  <c r="O655" i="11" s="1"/>
  <c r="K825" i="11"/>
  <c r="O58" i="12"/>
  <c r="N121" i="12"/>
  <c r="N119" i="12" s="1"/>
  <c r="I143" i="12"/>
  <c r="I131" i="12" s="1"/>
  <c r="K131" i="12" s="1"/>
  <c r="L230" i="12"/>
  <c r="M279" i="12"/>
  <c r="P279" i="12" s="1"/>
  <c r="L283" i="12"/>
  <c r="O283" i="12" s="1"/>
  <c r="N348" i="12"/>
  <c r="P348" i="12" s="1"/>
  <c r="P350" i="12"/>
  <c r="P353" i="12"/>
  <c r="M392" i="12"/>
  <c r="P392" i="12" s="1"/>
  <c r="O394" i="12"/>
  <c r="O397" i="12"/>
  <c r="N69" i="11"/>
  <c r="M155" i="11"/>
  <c r="P155" i="11" s="1"/>
  <c r="L229" i="11"/>
  <c r="L33" i="11"/>
  <c r="O33" i="11" s="1"/>
  <c r="L547" i="11"/>
  <c r="K822" i="11"/>
  <c r="L43" i="12"/>
  <c r="O44" i="12"/>
  <c r="P56" i="12"/>
  <c r="I76" i="12"/>
  <c r="K98" i="12"/>
  <c r="P173" i="12"/>
  <c r="P189" i="12"/>
  <c r="L209" i="12"/>
  <c r="O209" i="12" s="1"/>
  <c r="M280" i="12"/>
  <c r="P280" i="12" s="1"/>
  <c r="K309" i="12"/>
  <c r="L351" i="12"/>
  <c r="O351" i="12" s="1"/>
  <c r="K378" i="12"/>
  <c r="K649" i="12"/>
  <c r="L658" i="12"/>
  <c r="O658" i="12" s="1"/>
  <c r="L167" i="12"/>
  <c r="L165" i="12" s="1"/>
  <c r="I628" i="12"/>
  <c r="K628" i="12" s="1"/>
  <c r="L138" i="11"/>
  <c r="O138" i="11" s="1"/>
  <c r="L267" i="11"/>
  <c r="O267" i="11" s="1"/>
  <c r="M26" i="12"/>
  <c r="M16" i="12" s="1"/>
  <c r="M55" i="12"/>
  <c r="M53" i="12" s="1"/>
  <c r="M68" i="12"/>
  <c r="P68" i="12" s="1"/>
  <c r="M167" i="12"/>
  <c r="M165" i="12" s="1"/>
  <c r="L183" i="12"/>
  <c r="L228" i="12"/>
  <c r="K379" i="12"/>
  <c r="O407" i="12"/>
  <c r="O410" i="12"/>
  <c r="L229" i="10"/>
  <c r="K823" i="10"/>
  <c r="O58" i="11"/>
  <c r="K649" i="11"/>
  <c r="M44" i="12"/>
  <c r="P44" i="12" s="1"/>
  <c r="P74" i="12"/>
  <c r="N167" i="12"/>
  <c r="N165" i="12" s="1"/>
  <c r="M183" i="12"/>
  <c r="M181" i="12" s="1"/>
  <c r="L405" i="12"/>
  <c r="O405" i="12" s="1"/>
  <c r="K381" i="11"/>
  <c r="N330" i="12"/>
  <c r="N328" i="12" s="1"/>
  <c r="P334" i="12"/>
  <c r="M347" i="12"/>
  <c r="K374" i="12"/>
  <c r="K647" i="12"/>
  <c r="P351" i="12"/>
  <c r="M151" i="11"/>
  <c r="P151" i="11" s="1"/>
  <c r="O660" i="11"/>
  <c r="I785" i="11"/>
  <c r="K785" i="11" s="1"/>
  <c r="N23" i="12"/>
  <c r="N13" i="12" s="1"/>
  <c r="N11" i="12" s="1"/>
  <c r="N264" i="12"/>
  <c r="I314" i="12"/>
  <c r="K314" i="12" s="1"/>
  <c r="P333" i="12"/>
  <c r="P336" i="12"/>
  <c r="J721" i="12"/>
  <c r="I785" i="12"/>
  <c r="K785" i="12" s="1"/>
  <c r="P12" i="12"/>
  <c r="N134" i="11"/>
  <c r="N132" i="11" s="1"/>
  <c r="L23" i="12"/>
  <c r="L21" i="12" s="1"/>
  <c r="O320" i="12"/>
  <c r="L318" i="12"/>
  <c r="O318" i="12" s="1"/>
  <c r="P524" i="12"/>
  <c r="M523" i="12"/>
  <c r="P523" i="12" s="1"/>
  <c r="O154" i="11"/>
  <c r="P333" i="11"/>
  <c r="N9" i="12"/>
  <c r="M90" i="12"/>
  <c r="P93" i="12"/>
  <c r="N523" i="12"/>
  <c r="P545" i="12"/>
  <c r="K98" i="10"/>
  <c r="P25" i="12"/>
  <c r="O120" i="12"/>
  <c r="J433" i="12"/>
  <c r="J417" i="12" s="1"/>
  <c r="I433" i="12"/>
  <c r="I443" i="12"/>
  <c r="K443" i="12" s="1"/>
  <c r="K462" i="12"/>
  <c r="O173" i="11"/>
  <c r="O323" i="11"/>
  <c r="L421" i="11"/>
  <c r="O421" i="11" s="1"/>
  <c r="P32" i="12"/>
  <c r="L68" i="12"/>
  <c r="O74" i="12"/>
  <c r="L72" i="12"/>
  <c r="O72" i="12" s="1"/>
  <c r="O93" i="12"/>
  <c r="O166" i="12"/>
  <c r="O186" i="12"/>
  <c r="K244" i="12"/>
  <c r="I237" i="12"/>
  <c r="I233" i="12"/>
  <c r="K233" i="12" s="1"/>
  <c r="O282" i="12"/>
  <c r="L280" i="12"/>
  <c r="O280" i="12" s="1"/>
  <c r="L317" i="12"/>
  <c r="O317" i="12" s="1"/>
  <c r="K435" i="12"/>
  <c r="L446" i="12"/>
  <c r="O449" i="12"/>
  <c r="L447" i="12"/>
  <c r="M449" i="12"/>
  <c r="L33" i="12"/>
  <c r="L31" i="12" s="1"/>
  <c r="O31" i="12" s="1"/>
  <c r="O503" i="12"/>
  <c r="L502" i="12"/>
  <c r="O502" i="12" s="1"/>
  <c r="J592" i="12"/>
  <c r="K592" i="12" s="1"/>
  <c r="K593" i="12"/>
  <c r="N43" i="11"/>
  <c r="N41" i="11" s="1"/>
  <c r="O634" i="11"/>
  <c r="L19" i="12"/>
  <c r="L26" i="12"/>
  <c r="L24" i="12" s="1"/>
  <c r="L29" i="12"/>
  <c r="O42" i="12"/>
  <c r="O54" i="12"/>
  <c r="L56" i="12"/>
  <c r="O56" i="12" s="1"/>
  <c r="M91" i="12"/>
  <c r="J143" i="12"/>
  <c r="J131" i="12" s="1"/>
  <c r="N151" i="12"/>
  <c r="N149" i="12" s="1"/>
  <c r="L198" i="12"/>
  <c r="O198" i="12" s="1"/>
  <c r="L238" i="12"/>
  <c r="N408" i="12"/>
  <c r="N404" i="12"/>
  <c r="N402" i="12" s="1"/>
  <c r="P503" i="12"/>
  <c r="M502" i="12"/>
  <c r="P502" i="12" s="1"/>
  <c r="L23" i="11"/>
  <c r="L21" i="11" s="1"/>
  <c r="P186" i="11"/>
  <c r="K360" i="11"/>
  <c r="K372" i="11"/>
  <c r="L15" i="12"/>
  <c r="M19" i="12"/>
  <c r="M29" i="12"/>
  <c r="O35" i="12"/>
  <c r="P54" i="12"/>
  <c r="P58" i="12"/>
  <c r="O71" i="12"/>
  <c r="N91" i="12"/>
  <c r="N184" i="12"/>
  <c r="P184" i="12" s="1"/>
  <c r="I190" i="12"/>
  <c r="K190" i="12" s="1"/>
  <c r="K193" i="12"/>
  <c r="M634" i="12"/>
  <c r="L632" i="12"/>
  <c r="O632" i="12" s="1"/>
  <c r="O634" i="12"/>
  <c r="O787" i="12"/>
  <c r="M395" i="10"/>
  <c r="P395" i="10" s="1"/>
  <c r="L151" i="11"/>
  <c r="O151" i="11" s="1"/>
  <c r="N167" i="11"/>
  <c r="L249" i="11"/>
  <c r="O249" i="11" s="1"/>
  <c r="O333" i="11"/>
  <c r="K355" i="11"/>
  <c r="M392" i="11"/>
  <c r="P392" i="11" s="1"/>
  <c r="L555" i="11"/>
  <c r="O555" i="11" s="1"/>
  <c r="L12" i="12"/>
  <c r="M15" i="12"/>
  <c r="N19" i="12"/>
  <c r="N26" i="12"/>
  <c r="N29" i="12"/>
  <c r="N28" i="12" s="1"/>
  <c r="O46" i="12"/>
  <c r="K86" i="12"/>
  <c r="M134" i="12"/>
  <c r="P134" i="12" s="1"/>
  <c r="P137" i="12"/>
  <c r="O150" i="12"/>
  <c r="L279" i="12"/>
  <c r="P787" i="12"/>
  <c r="M786" i="12"/>
  <c r="P786" i="12" s="1"/>
  <c r="M43" i="11"/>
  <c r="L55" i="11"/>
  <c r="L53" i="11" s="1"/>
  <c r="L187" i="11"/>
  <c r="O187" i="11" s="1"/>
  <c r="K369" i="11"/>
  <c r="L55" i="12"/>
  <c r="P168" i="12"/>
  <c r="K197" i="12"/>
  <c r="I216" i="12"/>
  <c r="K216" i="12" s="1"/>
  <c r="N391" i="12"/>
  <c r="N389" i="12" s="1"/>
  <c r="N395" i="12"/>
  <c r="O137" i="12"/>
  <c r="P170" i="12"/>
  <c r="P186" i="12"/>
  <c r="O269" i="12"/>
  <c r="M317" i="12"/>
  <c r="P317" i="12" s="1"/>
  <c r="M318" i="12"/>
  <c r="P318" i="12" s="1"/>
  <c r="P329" i="12"/>
  <c r="L347" i="12"/>
  <c r="M395" i="12"/>
  <c r="P395" i="12" s="1"/>
  <c r="L525" i="12"/>
  <c r="O525" i="12" s="1"/>
  <c r="J537" i="12"/>
  <c r="J522" i="12" s="1"/>
  <c r="K672" i="12"/>
  <c r="M263" i="12"/>
  <c r="N279" i="12"/>
  <c r="N277" i="12" s="1"/>
  <c r="N280" i="12"/>
  <c r="L330" i="12"/>
  <c r="I364" i="12"/>
  <c r="M391" i="12"/>
  <c r="N446" i="12"/>
  <c r="N444" i="12" s="1"/>
  <c r="N447" i="12"/>
  <c r="O468" i="12"/>
  <c r="L546" i="12"/>
  <c r="O546" i="12" s="1"/>
  <c r="M549" i="12"/>
  <c r="L547" i="12"/>
  <c r="O547" i="12" s="1"/>
  <c r="P755" i="12"/>
  <c r="M754" i="12"/>
  <c r="P754" i="12" s="1"/>
  <c r="L788" i="12"/>
  <c r="O788" i="12" s="1"/>
  <c r="M300" i="12"/>
  <c r="P303" i="12"/>
  <c r="M330" i="12"/>
  <c r="O424" i="12"/>
  <c r="N422" i="12"/>
  <c r="N754" i="12"/>
  <c r="N805" i="12"/>
  <c r="P278" i="12"/>
  <c r="N300" i="12"/>
  <c r="N298" i="12" s="1"/>
  <c r="O316" i="12"/>
  <c r="L469" i="12"/>
  <c r="O469" i="12" s="1"/>
  <c r="M472" i="12"/>
  <c r="L470" i="12"/>
  <c r="O470" i="12" s="1"/>
  <c r="N504" i="12"/>
  <c r="N502" i="12" s="1"/>
  <c r="N505" i="12"/>
  <c r="N525" i="12"/>
  <c r="N526" i="12"/>
  <c r="K675" i="12"/>
  <c r="K669" i="12"/>
  <c r="I654" i="12"/>
  <c r="K654" i="12" s="1"/>
  <c r="N685" i="12"/>
  <c r="O690" i="12"/>
  <c r="L687" i="12"/>
  <c r="N788" i="12"/>
  <c r="N786" i="12" s="1"/>
  <c r="N789" i="12"/>
  <c r="O262" i="12"/>
  <c r="P285" i="12"/>
  <c r="P316" i="12"/>
  <c r="O323" i="12"/>
  <c r="O350" i="12"/>
  <c r="M404" i="12"/>
  <c r="P407" i="12"/>
  <c r="N419" i="12"/>
  <c r="L526" i="12"/>
  <c r="O526" i="12" s="1"/>
  <c r="K594" i="12"/>
  <c r="N756" i="12"/>
  <c r="N757" i="12"/>
  <c r="P445" i="12"/>
  <c r="K442" i="12"/>
  <c r="K466" i="12"/>
  <c r="O472" i="12"/>
  <c r="O524" i="12"/>
  <c r="L555" i="12"/>
  <c r="O555" i="12" s="1"/>
  <c r="L789" i="12"/>
  <c r="O789" i="12" s="1"/>
  <c r="L737" i="12"/>
  <c r="O737" i="12" s="1"/>
  <c r="L770" i="12"/>
  <c r="O770" i="12" s="1"/>
  <c r="M805" i="12"/>
  <c r="P805" i="12" s="1"/>
  <c r="L477" i="12"/>
  <c r="O477" i="12" s="1"/>
  <c r="M655" i="12"/>
  <c r="P655" i="12" s="1"/>
  <c r="M737" i="12"/>
  <c r="P737" i="12" s="1"/>
  <c r="M770" i="12"/>
  <c r="P770" i="12" s="1"/>
  <c r="P264" i="11"/>
  <c r="P154" i="10"/>
  <c r="M44" i="11"/>
  <c r="P93" i="11"/>
  <c r="P96" i="11"/>
  <c r="M167" i="11"/>
  <c r="M165" i="11" s="1"/>
  <c r="P285" i="11"/>
  <c r="L300" i="11"/>
  <c r="O300" i="11" s="1"/>
  <c r="P323" i="11"/>
  <c r="P350" i="11"/>
  <c r="L391" i="11"/>
  <c r="O391" i="11" s="1"/>
  <c r="L546" i="11"/>
  <c r="L544" i="11" s="1"/>
  <c r="K821" i="11"/>
  <c r="P282" i="10"/>
  <c r="P58" i="11"/>
  <c r="N55" i="11"/>
  <c r="N53" i="11" s="1"/>
  <c r="N90" i="11"/>
  <c r="N88" i="11" s="1"/>
  <c r="M171" i="11"/>
  <c r="P171" i="11" s="1"/>
  <c r="M187" i="11"/>
  <c r="P187" i="11" s="1"/>
  <c r="L209" i="11"/>
  <c r="O209" i="11" s="1"/>
  <c r="M318" i="11"/>
  <c r="P318" i="11" s="1"/>
  <c r="K325" i="11"/>
  <c r="N348" i="11"/>
  <c r="P348" i="11" s="1"/>
  <c r="K465" i="11"/>
  <c r="L631" i="11"/>
  <c r="L629" i="11" s="1"/>
  <c r="M23" i="11"/>
  <c r="M21" i="11" s="1"/>
  <c r="K577" i="11"/>
  <c r="P168" i="11"/>
  <c r="I174" i="11"/>
  <c r="N183" i="11"/>
  <c r="N181" i="11" s="1"/>
  <c r="L230" i="11"/>
  <c r="M304" i="11"/>
  <c r="P304" i="11" s="1"/>
  <c r="K359" i="11"/>
  <c r="K593" i="11"/>
  <c r="L632" i="11"/>
  <c r="O137" i="10"/>
  <c r="O124" i="11"/>
  <c r="I434" i="11"/>
  <c r="I418" i="11" s="1"/>
  <c r="K418" i="11" s="1"/>
  <c r="P74" i="11"/>
  <c r="K460" i="8"/>
  <c r="I443" i="10"/>
  <c r="K443" i="10" s="1"/>
  <c r="L36" i="11"/>
  <c r="O36" i="11" s="1"/>
  <c r="P61" i="11"/>
  <c r="N263" i="11"/>
  <c r="N261" i="11" s="1"/>
  <c r="K338" i="11"/>
  <c r="K440" i="11"/>
  <c r="N43" i="10"/>
  <c r="M151" i="10"/>
  <c r="M149" i="10" s="1"/>
  <c r="P149" i="10" s="1"/>
  <c r="O424" i="10"/>
  <c r="N330" i="11"/>
  <c r="N328" i="11" s="1"/>
  <c r="K378" i="11"/>
  <c r="O549" i="11"/>
  <c r="K828" i="11"/>
  <c r="M121" i="11"/>
  <c r="M632" i="11"/>
  <c r="P634" i="11"/>
  <c r="M631" i="11"/>
  <c r="M629" i="11" s="1"/>
  <c r="O690" i="9"/>
  <c r="L151" i="10"/>
  <c r="O151" i="10" s="1"/>
  <c r="M155" i="10"/>
  <c r="P155" i="10" s="1"/>
  <c r="M263" i="10"/>
  <c r="M261" i="10" s="1"/>
  <c r="N391" i="10"/>
  <c r="N389" i="10" s="1"/>
  <c r="L789" i="10"/>
  <c r="O789" i="10" s="1"/>
  <c r="N44" i="11"/>
  <c r="O44" i="11" s="1"/>
  <c r="O46" i="11"/>
  <c r="L56" i="11"/>
  <c r="O56" i="11" s="1"/>
  <c r="K98" i="11"/>
  <c r="K115" i="11"/>
  <c r="N121" i="11"/>
  <c r="N119" i="11" s="1"/>
  <c r="K146" i="11"/>
  <c r="M183" i="11"/>
  <c r="M181" i="11" s="1"/>
  <c r="L198" i="11"/>
  <c r="O198" i="11" s="1"/>
  <c r="K271" i="11"/>
  <c r="L331" i="11"/>
  <c r="O331" i="11" s="1"/>
  <c r="J364" i="11"/>
  <c r="M408" i="11"/>
  <c r="P408" i="11" s="1"/>
  <c r="L134" i="11"/>
  <c r="O134" i="11" s="1"/>
  <c r="L43" i="9"/>
  <c r="L41" i="9" s="1"/>
  <c r="N68" i="10"/>
  <c r="N66" i="10" s="1"/>
  <c r="N183" i="10"/>
  <c r="N181" i="10" s="1"/>
  <c r="M392" i="10"/>
  <c r="P392" i="10" s="1"/>
  <c r="M122" i="11"/>
  <c r="P122" i="11" s="1"/>
  <c r="P124" i="11"/>
  <c r="N151" i="11"/>
  <c r="N149" i="11" s="1"/>
  <c r="M184" i="11"/>
  <c r="P184" i="11" s="1"/>
  <c r="O306" i="11"/>
  <c r="M334" i="11"/>
  <c r="P334" i="11" s="1"/>
  <c r="J327" i="11"/>
  <c r="K327" i="11" s="1"/>
  <c r="K379" i="11"/>
  <c r="K385" i="11"/>
  <c r="O394" i="11"/>
  <c r="O479" i="11"/>
  <c r="L477" i="11"/>
  <c r="O477" i="11" s="1"/>
  <c r="M283" i="10"/>
  <c r="P283" i="10" s="1"/>
  <c r="M300" i="10"/>
  <c r="P300" i="10" s="1"/>
  <c r="K672" i="10"/>
  <c r="M90" i="11"/>
  <c r="M88" i="11" s="1"/>
  <c r="K99" i="11"/>
  <c r="M125" i="11"/>
  <c r="P125" i="11" s="1"/>
  <c r="L135" i="11"/>
  <c r="O135" i="11" s="1"/>
  <c r="P170" i="11"/>
  <c r="K204" i="11"/>
  <c r="L217" i="11"/>
  <c r="O217" i="11" s="1"/>
  <c r="L238" i="11"/>
  <c r="O238" i="11" s="1"/>
  <c r="O266" i="11"/>
  <c r="M263" i="11"/>
  <c r="M261" i="11" s="1"/>
  <c r="L301" i="11"/>
  <c r="O301" i="11" s="1"/>
  <c r="P353" i="11"/>
  <c r="K370" i="11"/>
  <c r="L94" i="10"/>
  <c r="O94" i="10" s="1"/>
  <c r="M279" i="10"/>
  <c r="P279" i="10" s="1"/>
  <c r="L421" i="10"/>
  <c r="O421" i="10" s="1"/>
  <c r="L687" i="10"/>
  <c r="O687" i="10" s="1"/>
  <c r="O61" i="11"/>
  <c r="O74" i="11"/>
  <c r="L94" i="11"/>
  <c r="O94" i="11" s="1"/>
  <c r="M152" i="11"/>
  <c r="P152" i="11" s="1"/>
  <c r="P154" i="11"/>
  <c r="L283" i="11"/>
  <c r="O283" i="11" s="1"/>
  <c r="K340" i="11"/>
  <c r="L395" i="11"/>
  <c r="O395" i="11" s="1"/>
  <c r="M424" i="11"/>
  <c r="M421" i="11" s="1"/>
  <c r="O424" i="11"/>
  <c r="I216" i="3"/>
  <c r="K216" i="3" s="1"/>
  <c r="L228" i="11"/>
  <c r="L404" i="11"/>
  <c r="O404" i="11" s="1"/>
  <c r="L405" i="11"/>
  <c r="O405" i="11" s="1"/>
  <c r="I442" i="11"/>
  <c r="K442" i="11" s="1"/>
  <c r="K460" i="11"/>
  <c r="P353" i="10"/>
  <c r="P56" i="11"/>
  <c r="P91" i="11"/>
  <c r="K215" i="11"/>
  <c r="N317" i="11"/>
  <c r="N315" i="11" s="1"/>
  <c r="P331" i="11"/>
  <c r="O350" i="11"/>
  <c r="M547" i="11"/>
  <c r="K569" i="11"/>
  <c r="K672" i="11"/>
  <c r="L688" i="11"/>
  <c r="O688" i="11" s="1"/>
  <c r="K826" i="11"/>
  <c r="K537" i="11"/>
  <c r="K827" i="11"/>
  <c r="K824" i="11"/>
  <c r="M546" i="11"/>
  <c r="P546" i="11" s="1"/>
  <c r="K647" i="11"/>
  <c r="L687" i="11"/>
  <c r="P12" i="11"/>
  <c r="O127" i="11"/>
  <c r="L125" i="11"/>
  <c r="O125" i="11" s="1"/>
  <c r="O299" i="11"/>
  <c r="M408" i="10"/>
  <c r="P408" i="10" s="1"/>
  <c r="K824" i="10"/>
  <c r="N30" i="11"/>
  <c r="L47" i="11"/>
  <c r="O47" i="11" s="1"/>
  <c r="M55" i="11"/>
  <c r="O67" i="11"/>
  <c r="I76" i="11"/>
  <c r="L90" i="11"/>
  <c r="O93" i="11"/>
  <c r="L91" i="11"/>
  <c r="O91" i="11" s="1"/>
  <c r="O133" i="11"/>
  <c r="L183" i="11"/>
  <c r="O186" i="11"/>
  <c r="L184" i="11"/>
  <c r="O184" i="11" s="1"/>
  <c r="M404" i="11"/>
  <c r="P404" i="11" s="1"/>
  <c r="P407" i="11"/>
  <c r="M405" i="11"/>
  <c r="P405" i="11" s="1"/>
  <c r="P503" i="11"/>
  <c r="M502" i="11"/>
  <c r="P502" i="11" s="1"/>
  <c r="P755" i="11"/>
  <c r="M754" i="11"/>
  <c r="P754" i="11" s="1"/>
  <c r="L405" i="9"/>
  <c r="O405" i="9" s="1"/>
  <c r="L121" i="10"/>
  <c r="O121" i="10" s="1"/>
  <c r="L280" i="10"/>
  <c r="O280" i="10" s="1"/>
  <c r="L469" i="10"/>
  <c r="O469" i="10" s="1"/>
  <c r="K651" i="10"/>
  <c r="L26" i="11"/>
  <c r="L24" i="11" s="1"/>
  <c r="P67" i="11"/>
  <c r="N122" i="11"/>
  <c r="N279" i="11"/>
  <c r="N277" i="11" s="1"/>
  <c r="N283" i="11"/>
  <c r="J537" i="11"/>
  <c r="J522" i="11" s="1"/>
  <c r="K538" i="11"/>
  <c r="P61" i="9"/>
  <c r="M55" i="10"/>
  <c r="M53" i="10" s="1"/>
  <c r="N121" i="10"/>
  <c r="N119" i="10" s="1"/>
  <c r="M26" i="11"/>
  <c r="L15" i="11"/>
  <c r="O35" i="11"/>
  <c r="L68" i="11"/>
  <c r="O68" i="11" s="1"/>
  <c r="O71" i="11"/>
  <c r="M138" i="11"/>
  <c r="P138" i="11" s="1"/>
  <c r="K255" i="11"/>
  <c r="O353" i="11"/>
  <c r="L351" i="11"/>
  <c r="O351" i="11" s="1"/>
  <c r="L347" i="11"/>
  <c r="N395" i="11"/>
  <c r="N391" i="11"/>
  <c r="N389" i="11" s="1"/>
  <c r="N446" i="11"/>
  <c r="N444" i="11" s="1"/>
  <c r="N447" i="11"/>
  <c r="P660" i="11"/>
  <c r="M658" i="11"/>
  <c r="P658" i="11" s="1"/>
  <c r="M657" i="11"/>
  <c r="O189" i="10"/>
  <c r="O320" i="10"/>
  <c r="K370" i="10"/>
  <c r="K374" i="10"/>
  <c r="L391" i="10"/>
  <c r="L389" i="10" s="1"/>
  <c r="O389" i="10" s="1"/>
  <c r="K822" i="10"/>
  <c r="N26" i="11"/>
  <c r="L12" i="11"/>
  <c r="O32" i="11"/>
  <c r="M15" i="11"/>
  <c r="P35" i="11"/>
  <c r="M34" i="11"/>
  <c r="P34" i="11" s="1"/>
  <c r="L43" i="11"/>
  <c r="M68" i="11"/>
  <c r="P68" i="11" s="1"/>
  <c r="P71" i="11"/>
  <c r="M69" i="11"/>
  <c r="P69" i="11" s="1"/>
  <c r="N138" i="11"/>
  <c r="O157" i="11"/>
  <c r="L155" i="11"/>
  <c r="O155" i="11" s="1"/>
  <c r="O166" i="11"/>
  <c r="K193" i="11"/>
  <c r="K216" i="11"/>
  <c r="I297" i="11"/>
  <c r="K297" i="11" s="1"/>
  <c r="K309" i="11"/>
  <c r="O127" i="9"/>
  <c r="M59" i="10"/>
  <c r="P59" i="10" s="1"/>
  <c r="P32" i="11"/>
  <c r="M29" i="11"/>
  <c r="N34" i="11"/>
  <c r="N29" i="11"/>
  <c r="M134" i="11"/>
  <c r="J143" i="11"/>
  <c r="J131" i="11" s="1"/>
  <c r="I143" i="11"/>
  <c r="P166" i="11"/>
  <c r="L231" i="11"/>
  <c r="P316" i="11"/>
  <c r="N419" i="11"/>
  <c r="L230" i="10"/>
  <c r="L249" i="10"/>
  <c r="O249" i="10" s="1"/>
  <c r="L317" i="10"/>
  <c r="O317" i="10" s="1"/>
  <c r="P49" i="11"/>
  <c r="M47" i="11"/>
  <c r="P47" i="11" s="1"/>
  <c r="L59" i="11"/>
  <c r="O59" i="11" s="1"/>
  <c r="I77" i="11"/>
  <c r="K79" i="11"/>
  <c r="O89" i="11"/>
  <c r="K145" i="11"/>
  <c r="N152" i="11"/>
  <c r="O182" i="11"/>
  <c r="I237" i="11"/>
  <c r="I233" i="11"/>
  <c r="K233" i="11" s="1"/>
  <c r="K244" i="11"/>
  <c r="P303" i="9"/>
  <c r="M121" i="10"/>
  <c r="M119" i="10" s="1"/>
  <c r="P119" i="10" s="1"/>
  <c r="O154" i="10"/>
  <c r="L231" i="10"/>
  <c r="O285" i="10"/>
  <c r="O353" i="10"/>
  <c r="O410" i="10"/>
  <c r="L631" i="10"/>
  <c r="L629" i="10" s="1"/>
  <c r="O629" i="10" s="1"/>
  <c r="O641" i="10"/>
  <c r="N15" i="11"/>
  <c r="N9" i="11" s="1"/>
  <c r="L29" i="11"/>
  <c r="M59" i="11"/>
  <c r="P59" i="11" s="1"/>
  <c r="L69" i="11"/>
  <c r="O69" i="11" s="1"/>
  <c r="P89" i="11"/>
  <c r="L121" i="11"/>
  <c r="L167" i="11"/>
  <c r="O170" i="11"/>
  <c r="L168" i="11"/>
  <c r="O168" i="11" s="1"/>
  <c r="P182" i="11"/>
  <c r="O316" i="11"/>
  <c r="N404" i="11"/>
  <c r="N402" i="11" s="1"/>
  <c r="N405" i="11"/>
  <c r="J433" i="11"/>
  <c r="J417" i="11" s="1"/>
  <c r="I433" i="11"/>
  <c r="K466" i="11"/>
  <c r="N502" i="11"/>
  <c r="O641" i="11"/>
  <c r="L639" i="11"/>
  <c r="O639" i="11" s="1"/>
  <c r="L737" i="11"/>
  <c r="O737" i="11" s="1"/>
  <c r="O739" i="11"/>
  <c r="M805" i="11"/>
  <c r="P805" i="11" s="1"/>
  <c r="P807" i="11"/>
  <c r="N23" i="11"/>
  <c r="O278" i="11"/>
  <c r="O336" i="11"/>
  <c r="L334" i="11"/>
  <c r="O334" i="11" s="1"/>
  <c r="M395" i="11"/>
  <c r="P395" i="11" s="1"/>
  <c r="O468" i="11"/>
  <c r="L469" i="11"/>
  <c r="O469" i="11" s="1"/>
  <c r="O472" i="11"/>
  <c r="M472" i="11"/>
  <c r="L470" i="11"/>
  <c r="O470" i="11" s="1"/>
  <c r="N504" i="11"/>
  <c r="N505" i="11"/>
  <c r="K576" i="11"/>
  <c r="N756" i="11"/>
  <c r="N754" i="11" s="1"/>
  <c r="N757" i="11"/>
  <c r="M300" i="11"/>
  <c r="P300" i="11" s="1"/>
  <c r="P303" i="11"/>
  <c r="M317" i="11"/>
  <c r="P317" i="11" s="1"/>
  <c r="L317" i="11"/>
  <c r="O317" i="11" s="1"/>
  <c r="O320" i="11"/>
  <c r="L318" i="11"/>
  <c r="O318" i="11" s="1"/>
  <c r="L330" i="11"/>
  <c r="I443" i="11"/>
  <c r="K443" i="11" s="1"/>
  <c r="K462" i="11"/>
  <c r="P468" i="11"/>
  <c r="O787" i="11"/>
  <c r="L786" i="11"/>
  <c r="O786" i="11" s="1"/>
  <c r="N300" i="11"/>
  <c r="N298" i="11" s="1"/>
  <c r="N301" i="11"/>
  <c r="P524" i="11"/>
  <c r="M523" i="11"/>
  <c r="P523" i="11" s="1"/>
  <c r="P266" i="11"/>
  <c r="I276" i="11"/>
  <c r="K276" i="11" s="1"/>
  <c r="L279" i="11"/>
  <c r="O279" i="11" s="1"/>
  <c r="O282" i="11"/>
  <c r="M391" i="11"/>
  <c r="P445" i="11"/>
  <c r="M444" i="11"/>
  <c r="P444" i="11" s="1"/>
  <c r="N523" i="11"/>
  <c r="L525" i="11"/>
  <c r="O528" i="11"/>
  <c r="L264" i="11"/>
  <c r="O264" i="11" s="1"/>
  <c r="M279" i="11"/>
  <c r="P282" i="11"/>
  <c r="M280" i="11"/>
  <c r="P280" i="11" s="1"/>
  <c r="K365" i="11"/>
  <c r="L446" i="11"/>
  <c r="O449" i="11"/>
  <c r="N525" i="11"/>
  <c r="N526" i="11"/>
  <c r="K592" i="11"/>
  <c r="L770" i="11"/>
  <c r="O770" i="11" s="1"/>
  <c r="O772" i="11"/>
  <c r="K673" i="11"/>
  <c r="O303" i="11"/>
  <c r="M330" i="11"/>
  <c r="M347" i="11"/>
  <c r="O407" i="11"/>
  <c r="N546" i="11"/>
  <c r="N544" i="11" s="1"/>
  <c r="N631" i="11"/>
  <c r="N629" i="11" s="1"/>
  <c r="I654" i="11"/>
  <c r="K654" i="11" s="1"/>
  <c r="K674" i="11"/>
  <c r="N688" i="11"/>
  <c r="L754" i="11"/>
  <c r="O754" i="11" s="1"/>
  <c r="L789" i="11"/>
  <c r="O789" i="11" s="1"/>
  <c r="O807" i="11"/>
  <c r="M351" i="11"/>
  <c r="P351" i="11" s="1"/>
  <c r="I559" i="11"/>
  <c r="J592" i="11"/>
  <c r="K669" i="11"/>
  <c r="O791" i="11"/>
  <c r="I275" i="11"/>
  <c r="K275" i="11" s="1"/>
  <c r="J288" i="11"/>
  <c r="J275" i="11" s="1"/>
  <c r="L422" i="11"/>
  <c r="O422" i="11" s="1"/>
  <c r="L454" i="11"/>
  <c r="O454" i="11" s="1"/>
  <c r="L533" i="11"/>
  <c r="O533" i="11" s="1"/>
  <c r="M545" i="11"/>
  <c r="J628" i="11"/>
  <c r="K628" i="11" s="1"/>
  <c r="L658" i="11"/>
  <c r="O658" i="11" s="1"/>
  <c r="P739" i="11"/>
  <c r="P772" i="11"/>
  <c r="M786" i="11"/>
  <c r="P786" i="11" s="1"/>
  <c r="L389" i="11"/>
  <c r="O389" i="11" s="1"/>
  <c r="N547" i="11"/>
  <c r="N632" i="11"/>
  <c r="I364" i="10"/>
  <c r="P320" i="9"/>
  <c r="L68" i="10"/>
  <c r="O68" i="10" s="1"/>
  <c r="L122" i="10"/>
  <c r="O122" i="10" s="1"/>
  <c r="L134" i="10"/>
  <c r="O134" i="10" s="1"/>
  <c r="K145" i="10"/>
  <c r="L330" i="10"/>
  <c r="L328" i="10" s="1"/>
  <c r="L347" i="10"/>
  <c r="L345" i="10" s="1"/>
  <c r="K365" i="10"/>
  <c r="J721" i="7"/>
  <c r="K721" i="7" s="1"/>
  <c r="N43" i="9"/>
  <c r="N41" i="9" s="1"/>
  <c r="O46" i="9"/>
  <c r="L788" i="9"/>
  <c r="O788" i="9" s="1"/>
  <c r="K823" i="9"/>
  <c r="N44" i="10"/>
  <c r="M68" i="10"/>
  <c r="P68" i="10" s="1"/>
  <c r="M122" i="10"/>
  <c r="P122" i="10" s="1"/>
  <c r="P127" i="10"/>
  <c r="L167" i="10"/>
  <c r="L165" i="10" s="1"/>
  <c r="P189" i="10"/>
  <c r="I275" i="10"/>
  <c r="K275" i="10" s="1"/>
  <c r="J288" i="10"/>
  <c r="J275" i="10" s="1"/>
  <c r="L321" i="10"/>
  <c r="O321" i="10" s="1"/>
  <c r="M330" i="10"/>
  <c r="M328" i="10" s="1"/>
  <c r="M347" i="10"/>
  <c r="M345" i="10" s="1"/>
  <c r="L533" i="10"/>
  <c r="O533" i="10" s="1"/>
  <c r="I654" i="10"/>
  <c r="K654" i="10" s="1"/>
  <c r="L657" i="10"/>
  <c r="O657" i="10" s="1"/>
  <c r="M121" i="8"/>
  <c r="P121" i="8" s="1"/>
  <c r="J721" i="8"/>
  <c r="L47" i="9"/>
  <c r="O47" i="9" s="1"/>
  <c r="L688" i="9"/>
  <c r="O688" i="9" s="1"/>
  <c r="P124" i="10"/>
  <c r="M184" i="10"/>
  <c r="P184" i="10" s="1"/>
  <c r="M267" i="10"/>
  <c r="P267" i="10" s="1"/>
  <c r="I276" i="10"/>
  <c r="K276" i="10" s="1"/>
  <c r="M321" i="10"/>
  <c r="P321" i="10" s="1"/>
  <c r="K378" i="10"/>
  <c r="O634" i="10"/>
  <c r="L688" i="10"/>
  <c r="O688" i="10" s="1"/>
  <c r="K828" i="10"/>
  <c r="K576" i="10"/>
  <c r="L44" i="9"/>
  <c r="O44" i="9" s="1"/>
  <c r="I443" i="9"/>
  <c r="K443" i="9" s="1"/>
  <c r="I143" i="10"/>
  <c r="K143" i="10" s="1"/>
  <c r="L228" i="10"/>
  <c r="N300" i="10"/>
  <c r="N298" i="10" s="1"/>
  <c r="L348" i="10"/>
  <c r="K362" i="10"/>
  <c r="K369" i="10"/>
  <c r="K379" i="10"/>
  <c r="K385" i="10"/>
  <c r="J433" i="10"/>
  <c r="J417" i="10" s="1"/>
  <c r="L632" i="10"/>
  <c r="O632" i="10" s="1"/>
  <c r="O791" i="10"/>
  <c r="K821" i="10"/>
  <c r="I148" i="9"/>
  <c r="K148" i="9" s="1"/>
  <c r="K800" i="9"/>
  <c r="P46" i="10"/>
  <c r="N90" i="10"/>
  <c r="N88" i="10" s="1"/>
  <c r="N167" i="10"/>
  <c r="N165" i="10" s="1"/>
  <c r="L198" i="10"/>
  <c r="O198" i="10" s="1"/>
  <c r="L217" i="10"/>
  <c r="O217" i="10" s="1"/>
  <c r="K359" i="10"/>
  <c r="N404" i="10"/>
  <c r="N402" i="10" s="1"/>
  <c r="I543" i="10"/>
  <c r="K543" i="10" s="1"/>
  <c r="K559" i="10"/>
  <c r="O264" i="10"/>
  <c r="I130" i="9"/>
  <c r="K130" i="9" s="1"/>
  <c r="O791" i="9"/>
  <c r="L23" i="10"/>
  <c r="L21" i="10" s="1"/>
  <c r="I77" i="10"/>
  <c r="K77" i="10" s="1"/>
  <c r="M90" i="10"/>
  <c r="M88" i="10" s="1"/>
  <c r="M94" i="10"/>
  <c r="P94" i="10" s="1"/>
  <c r="L138" i="10"/>
  <c r="O138" i="10" s="1"/>
  <c r="L238" i="10"/>
  <c r="L304" i="10"/>
  <c r="O304" i="10" s="1"/>
  <c r="J364" i="10"/>
  <c r="M449" i="10"/>
  <c r="M446" i="10" s="1"/>
  <c r="M444" i="10" s="1"/>
  <c r="P444" i="10" s="1"/>
  <c r="M549" i="10"/>
  <c r="P549" i="10" s="1"/>
  <c r="K362" i="9"/>
  <c r="P58" i="10"/>
  <c r="M138" i="10"/>
  <c r="P138" i="10" s="1"/>
  <c r="I148" i="10"/>
  <c r="K148" i="10" s="1"/>
  <c r="P170" i="10"/>
  <c r="I260" i="10"/>
  <c r="K260" i="10" s="1"/>
  <c r="L263" i="10"/>
  <c r="L261" i="10" s="1"/>
  <c r="P266" i="10"/>
  <c r="I297" i="10"/>
  <c r="K297" i="10" s="1"/>
  <c r="M301" i="10"/>
  <c r="P301" i="10" s="1"/>
  <c r="M304" i="10"/>
  <c r="P304" i="10" s="1"/>
  <c r="I314" i="10"/>
  <c r="K314" i="10" s="1"/>
  <c r="M317" i="10"/>
  <c r="M315" i="10" s="1"/>
  <c r="P315" i="10" s="1"/>
  <c r="K435" i="10"/>
  <c r="I442" i="10"/>
  <c r="K442" i="10" s="1"/>
  <c r="L446" i="10"/>
  <c r="O446" i="10" s="1"/>
  <c r="L658" i="10"/>
  <c r="O658" i="10" s="1"/>
  <c r="K674" i="10"/>
  <c r="K800" i="10"/>
  <c r="L477" i="8"/>
  <c r="O477" i="8" s="1"/>
  <c r="L229" i="9"/>
  <c r="L454" i="9"/>
  <c r="O454" i="9" s="1"/>
  <c r="O46" i="10"/>
  <c r="L26" i="10"/>
  <c r="L24" i="10" s="1"/>
  <c r="O71" i="10"/>
  <c r="M334" i="10"/>
  <c r="P334" i="10" s="1"/>
  <c r="L454" i="10"/>
  <c r="O454" i="10" s="1"/>
  <c r="L546" i="10"/>
  <c r="L544" i="10" s="1"/>
  <c r="K828" i="6"/>
  <c r="L134" i="8"/>
  <c r="O134" i="8" s="1"/>
  <c r="M134" i="9"/>
  <c r="M132" i="9" s="1"/>
  <c r="L198" i="9"/>
  <c r="O198" i="9" s="1"/>
  <c r="K370" i="9"/>
  <c r="L43" i="10"/>
  <c r="M26" i="10"/>
  <c r="M16" i="10" s="1"/>
  <c r="N55" i="10"/>
  <c r="L59" i="10"/>
  <c r="O59" i="10" s="1"/>
  <c r="L69" i="10"/>
  <c r="O69" i="10" s="1"/>
  <c r="M72" i="10"/>
  <c r="P72" i="10" s="1"/>
  <c r="L171" i="10"/>
  <c r="O171" i="10" s="1"/>
  <c r="N263" i="10"/>
  <c r="N261" i="10" s="1"/>
  <c r="O266" i="10"/>
  <c r="L279" i="10"/>
  <c r="O279" i="10" s="1"/>
  <c r="M318" i="10"/>
  <c r="P318" i="10" s="1"/>
  <c r="L331" i="10"/>
  <c r="K338" i="10"/>
  <c r="K372" i="10"/>
  <c r="K381" i="10"/>
  <c r="M391" i="10"/>
  <c r="I417" i="10"/>
  <c r="O479" i="10"/>
  <c r="J722" i="10"/>
  <c r="M395" i="8"/>
  <c r="P395" i="8" s="1"/>
  <c r="N167" i="9"/>
  <c r="N165" i="9" s="1"/>
  <c r="L33" i="10"/>
  <c r="L36" i="10"/>
  <c r="O36" i="10" s="1"/>
  <c r="I174" i="10"/>
  <c r="L267" i="10"/>
  <c r="O267" i="10" s="1"/>
  <c r="M331" i="10"/>
  <c r="J327" i="10"/>
  <c r="K327" i="10" s="1"/>
  <c r="L392" i="10"/>
  <c r="O392" i="10" s="1"/>
  <c r="M424" i="10"/>
  <c r="L447" i="10"/>
  <c r="O447" i="10" s="1"/>
  <c r="K669" i="10"/>
  <c r="K827" i="10"/>
  <c r="K146" i="7"/>
  <c r="K360" i="9"/>
  <c r="M44" i="10"/>
  <c r="O49" i="10"/>
  <c r="M134" i="10"/>
  <c r="M132" i="10" s="1"/>
  <c r="P132" i="10" s="1"/>
  <c r="K193" i="10"/>
  <c r="N279" i="10"/>
  <c r="N277" i="10" s="1"/>
  <c r="K340" i="10"/>
  <c r="M351" i="10"/>
  <c r="P351" i="10" s="1"/>
  <c r="M404" i="10"/>
  <c r="P404" i="10" s="1"/>
  <c r="J721" i="10"/>
  <c r="N151" i="10"/>
  <c r="N149" i="10" s="1"/>
  <c r="L477" i="5"/>
  <c r="O477" i="5" s="1"/>
  <c r="K822" i="9"/>
  <c r="N134" i="10"/>
  <c r="N132" i="10" s="1"/>
  <c r="O15" i="10"/>
  <c r="M23" i="10"/>
  <c r="M21" i="10" s="1"/>
  <c r="N26" i="10"/>
  <c r="N16" i="10" s="1"/>
  <c r="I76" i="10"/>
  <c r="L209" i="10"/>
  <c r="O209" i="10" s="1"/>
  <c r="P299" i="10"/>
  <c r="N330" i="10"/>
  <c r="N331" i="10"/>
  <c r="N134" i="9"/>
  <c r="O306" i="9"/>
  <c r="N23" i="10"/>
  <c r="M29" i="10"/>
  <c r="O35" i="10"/>
  <c r="M47" i="10"/>
  <c r="P47" i="10" s="1"/>
  <c r="M69" i="10"/>
  <c r="P69" i="10" s="1"/>
  <c r="K79" i="10"/>
  <c r="L91" i="10"/>
  <c r="L125" i="10"/>
  <c r="O125" i="10" s="1"/>
  <c r="L155" i="10"/>
  <c r="O155" i="10" s="1"/>
  <c r="P173" i="10"/>
  <c r="L300" i="10"/>
  <c r="O300" i="10" s="1"/>
  <c r="O303" i="10"/>
  <c r="L301" i="10"/>
  <c r="O301" i="10" s="1"/>
  <c r="K537" i="10"/>
  <c r="I522" i="10"/>
  <c r="K522" i="10" s="1"/>
  <c r="K592" i="10"/>
  <c r="O787" i="10"/>
  <c r="L786" i="10"/>
  <c r="O786" i="10" s="1"/>
  <c r="I197" i="4"/>
  <c r="K197" i="4" s="1"/>
  <c r="N43" i="8"/>
  <c r="N41" i="8" s="1"/>
  <c r="O285" i="9"/>
  <c r="L19" i="10"/>
  <c r="P49" i="10"/>
  <c r="L56" i="10"/>
  <c r="O56" i="10" s="1"/>
  <c r="P71" i="10"/>
  <c r="N91" i="10"/>
  <c r="P91" i="10" s="1"/>
  <c r="O93" i="10"/>
  <c r="I112" i="10"/>
  <c r="K112" i="10" s="1"/>
  <c r="M135" i="10"/>
  <c r="P135" i="10" s="1"/>
  <c r="N155" i="10"/>
  <c r="P182" i="10"/>
  <c r="O397" i="10"/>
  <c r="L395" i="10"/>
  <c r="O395" i="10" s="1"/>
  <c r="P403" i="10"/>
  <c r="L404" i="10"/>
  <c r="O404" i="10" s="1"/>
  <c r="O407" i="10"/>
  <c r="L405" i="10"/>
  <c r="O405" i="10" s="1"/>
  <c r="K594" i="10"/>
  <c r="O138" i="9"/>
  <c r="P282" i="9"/>
  <c r="K381" i="9"/>
  <c r="M19" i="10"/>
  <c r="L44" i="10"/>
  <c r="M56" i="10"/>
  <c r="P56" i="10" s="1"/>
  <c r="L72" i="10"/>
  <c r="O72" i="10" s="1"/>
  <c r="P93" i="10"/>
  <c r="O278" i="10"/>
  <c r="N347" i="10"/>
  <c r="N345" i="10" s="1"/>
  <c r="N348" i="10"/>
  <c r="P348" i="10" s="1"/>
  <c r="O431" i="10"/>
  <c r="L429" i="10"/>
  <c r="O429" i="10" s="1"/>
  <c r="P755" i="10"/>
  <c r="M754" i="10"/>
  <c r="P754" i="10" s="1"/>
  <c r="P61" i="8"/>
  <c r="L230" i="8"/>
  <c r="L347" i="8"/>
  <c r="L345" i="8" s="1"/>
  <c r="K385" i="8"/>
  <c r="L230" i="9"/>
  <c r="L12" i="10"/>
  <c r="M15" i="10"/>
  <c r="O58" i="10"/>
  <c r="P137" i="10"/>
  <c r="M167" i="10"/>
  <c r="O170" i="10"/>
  <c r="L168" i="10"/>
  <c r="O168" i="10" s="1"/>
  <c r="M183" i="10"/>
  <c r="K360" i="10"/>
  <c r="O549" i="10"/>
  <c r="J594" i="10"/>
  <c r="L639" i="8"/>
  <c r="O639" i="8" s="1"/>
  <c r="L658" i="8"/>
  <c r="O658" i="8" s="1"/>
  <c r="O69" i="9"/>
  <c r="O74" i="9"/>
  <c r="O140" i="9"/>
  <c r="L217" i="9"/>
  <c r="O217" i="9" s="1"/>
  <c r="L657" i="9"/>
  <c r="L655" i="9" s="1"/>
  <c r="O655" i="9" s="1"/>
  <c r="J722" i="9"/>
  <c r="M12" i="10"/>
  <c r="N15" i="10"/>
  <c r="L55" i="10"/>
  <c r="L183" i="10"/>
  <c r="O186" i="10"/>
  <c r="L184" i="10"/>
  <c r="O184" i="10" s="1"/>
  <c r="K355" i="10"/>
  <c r="N523" i="10"/>
  <c r="N414" i="10" s="1"/>
  <c r="L523" i="10"/>
  <c r="O523" i="10" s="1"/>
  <c r="O525" i="10"/>
  <c r="I208" i="2"/>
  <c r="K208" i="2" s="1"/>
  <c r="L525" i="5"/>
  <c r="O525" i="5" s="1"/>
  <c r="O182" i="10"/>
  <c r="I86" i="8"/>
  <c r="K86" i="8" s="1"/>
  <c r="K821" i="9"/>
  <c r="N317" i="10"/>
  <c r="N315" i="10" s="1"/>
  <c r="O445" i="10"/>
  <c r="N546" i="10"/>
  <c r="N544" i="10" s="1"/>
  <c r="N547" i="10"/>
  <c r="O547" i="10" s="1"/>
  <c r="N685" i="10"/>
  <c r="N756" i="10"/>
  <c r="N754" i="10" s="1"/>
  <c r="N757" i="10"/>
  <c r="O333" i="10"/>
  <c r="O350" i="10"/>
  <c r="J537" i="10"/>
  <c r="J522" i="10" s="1"/>
  <c r="K593" i="10"/>
  <c r="M629" i="10"/>
  <c r="P629" i="10" s="1"/>
  <c r="N632" i="10"/>
  <c r="K673" i="10"/>
  <c r="N807" i="10"/>
  <c r="N805" i="10" s="1"/>
  <c r="I197" i="10"/>
  <c r="K197" i="10" s="1"/>
  <c r="I233" i="10"/>
  <c r="K233" i="10" s="1"/>
  <c r="I248" i="10"/>
  <c r="P333" i="10"/>
  <c r="P350" i="10"/>
  <c r="L334" i="10"/>
  <c r="O334" i="10" s="1"/>
  <c r="L351" i="10"/>
  <c r="O351" i="10" s="1"/>
  <c r="L526" i="10"/>
  <c r="O526" i="10" s="1"/>
  <c r="L555" i="10"/>
  <c r="O555" i="10" s="1"/>
  <c r="M264" i="10"/>
  <c r="P264" i="10" s="1"/>
  <c r="L470" i="10"/>
  <c r="O470" i="10" s="1"/>
  <c r="M472" i="10"/>
  <c r="O528" i="10"/>
  <c r="M786" i="10"/>
  <c r="P786" i="10" s="1"/>
  <c r="N789" i="10"/>
  <c r="M502" i="10"/>
  <c r="P502" i="10" s="1"/>
  <c r="M523" i="10"/>
  <c r="P523" i="10" s="1"/>
  <c r="L805" i="10"/>
  <c r="O805" i="10" s="1"/>
  <c r="I434" i="10"/>
  <c r="L737" i="10"/>
  <c r="O737" i="10" s="1"/>
  <c r="L770" i="10"/>
  <c r="O770" i="10" s="1"/>
  <c r="M805" i="10"/>
  <c r="P805" i="10" s="1"/>
  <c r="I276" i="8"/>
  <c r="K276" i="8" s="1"/>
  <c r="P96" i="9"/>
  <c r="M151" i="9"/>
  <c r="P151" i="9" s="1"/>
  <c r="M304" i="9"/>
  <c r="P304" i="9" s="1"/>
  <c r="L330" i="9"/>
  <c r="L328" i="9" s="1"/>
  <c r="P350" i="9"/>
  <c r="N404" i="9"/>
  <c r="N402" i="9" s="1"/>
  <c r="O557" i="9"/>
  <c r="O634" i="9"/>
  <c r="J721" i="9"/>
  <c r="I248" i="9"/>
  <c r="K248" i="9" s="1"/>
  <c r="L68" i="9"/>
  <c r="L66" i="9" s="1"/>
  <c r="M90" i="9"/>
  <c r="M88" i="9" s="1"/>
  <c r="N151" i="9"/>
  <c r="N149" i="9" s="1"/>
  <c r="P154" i="9"/>
  <c r="L167" i="9"/>
  <c r="L165" i="9" s="1"/>
  <c r="I276" i="9"/>
  <c r="K276" i="9" s="1"/>
  <c r="N317" i="9"/>
  <c r="N315" i="9" s="1"/>
  <c r="N347" i="9"/>
  <c r="N345" i="9" s="1"/>
  <c r="P394" i="9"/>
  <c r="M408" i="9"/>
  <c r="P408" i="9" s="1"/>
  <c r="L33" i="9"/>
  <c r="L31" i="9" s="1"/>
  <c r="L632" i="9"/>
  <c r="O632" i="9" s="1"/>
  <c r="M68" i="8"/>
  <c r="P68" i="8" s="1"/>
  <c r="M155" i="9"/>
  <c r="P155" i="9" s="1"/>
  <c r="L209" i="9"/>
  <c r="O209" i="9" s="1"/>
  <c r="L231" i="9"/>
  <c r="M267" i="9"/>
  <c r="P267" i="9" s="1"/>
  <c r="O350" i="9"/>
  <c r="K369" i="9"/>
  <c r="K365" i="9"/>
  <c r="L533" i="9"/>
  <c r="O533" i="9" s="1"/>
  <c r="K672" i="9"/>
  <c r="I143" i="9"/>
  <c r="I131" i="9" s="1"/>
  <c r="K379" i="9"/>
  <c r="K385" i="9"/>
  <c r="I654" i="9"/>
  <c r="K674" i="9"/>
  <c r="I216" i="5"/>
  <c r="K216" i="5" s="1"/>
  <c r="J143" i="9"/>
  <c r="J131" i="9" s="1"/>
  <c r="O303" i="9"/>
  <c r="O353" i="9"/>
  <c r="K359" i="9"/>
  <c r="K824" i="9"/>
  <c r="K828" i="9"/>
  <c r="O269" i="7"/>
  <c r="P74" i="8"/>
  <c r="N121" i="8"/>
  <c r="N119" i="8" s="1"/>
  <c r="K369" i="8"/>
  <c r="K825" i="8"/>
  <c r="L26" i="9"/>
  <c r="L24" i="9" s="1"/>
  <c r="P93" i="9"/>
  <c r="M171" i="9"/>
  <c r="P171" i="9" s="1"/>
  <c r="O186" i="9"/>
  <c r="L183" i="9"/>
  <c r="L181" i="9" s="1"/>
  <c r="L317" i="9"/>
  <c r="O317" i="9" s="1"/>
  <c r="O323" i="9"/>
  <c r="N330" i="9"/>
  <c r="N328" i="9" s="1"/>
  <c r="J364" i="9"/>
  <c r="L391" i="9"/>
  <c r="O391" i="9" s="1"/>
  <c r="L525" i="9"/>
  <c r="O525" i="9" s="1"/>
  <c r="O528" i="9"/>
  <c r="L526" i="9"/>
  <c r="O526" i="9" s="1"/>
  <c r="L546" i="9"/>
  <c r="O546" i="9" s="1"/>
  <c r="M549" i="9"/>
  <c r="M546" i="9" s="1"/>
  <c r="P546" i="9" s="1"/>
  <c r="L547" i="9"/>
  <c r="O547" i="9" s="1"/>
  <c r="I197" i="8"/>
  <c r="K197" i="8" s="1"/>
  <c r="N91" i="9"/>
  <c r="P91" i="9" s="1"/>
  <c r="N90" i="9"/>
  <c r="L90" i="8"/>
  <c r="L88" i="8" s="1"/>
  <c r="O96" i="8"/>
  <c r="L391" i="8"/>
  <c r="O391" i="8" s="1"/>
  <c r="O189" i="9"/>
  <c r="O320" i="9"/>
  <c r="L318" i="9"/>
  <c r="O318" i="9" s="1"/>
  <c r="M424" i="9"/>
  <c r="O424" i="9"/>
  <c r="I628" i="9"/>
  <c r="K628" i="9" s="1"/>
  <c r="K651" i="9"/>
  <c r="O58" i="7"/>
  <c r="I87" i="7"/>
  <c r="K87" i="7" s="1"/>
  <c r="L279" i="8"/>
  <c r="O279" i="8" s="1"/>
  <c r="O137" i="9"/>
  <c r="L134" i="9"/>
  <c r="L132" i="9" s="1"/>
  <c r="N300" i="9"/>
  <c r="N298" i="9" s="1"/>
  <c r="L351" i="9"/>
  <c r="O351" i="9" s="1"/>
  <c r="L408" i="9"/>
  <c r="O408" i="9" s="1"/>
  <c r="O410" i="9"/>
  <c r="L421" i="9"/>
  <c r="O421" i="9" s="1"/>
  <c r="L429" i="9"/>
  <c r="O429" i="9" s="1"/>
  <c r="O431" i="9"/>
  <c r="K700" i="6"/>
  <c r="O58" i="8"/>
  <c r="I76" i="8"/>
  <c r="I64" i="8" s="1"/>
  <c r="K64" i="8" s="1"/>
  <c r="L229" i="8"/>
  <c r="I260" i="8"/>
  <c r="K260" i="8" s="1"/>
  <c r="K435" i="8"/>
  <c r="M549" i="8"/>
  <c r="M547" i="8" s="1"/>
  <c r="P547" i="8" s="1"/>
  <c r="K826" i="8"/>
  <c r="N68" i="9"/>
  <c r="O71" i="9"/>
  <c r="I233" i="9"/>
  <c r="K233" i="9" s="1"/>
  <c r="K244" i="9"/>
  <c r="K325" i="9"/>
  <c r="I314" i="9"/>
  <c r="K314" i="9" s="1"/>
  <c r="N331" i="9"/>
  <c r="O394" i="9"/>
  <c r="O397" i="9"/>
  <c r="L36" i="9"/>
  <c r="O36" i="9" s="1"/>
  <c r="N26" i="9"/>
  <c r="P124" i="9"/>
  <c r="M121" i="9"/>
  <c r="P121" i="9" s="1"/>
  <c r="M122" i="9"/>
  <c r="P122" i="9" s="1"/>
  <c r="I559" i="9"/>
  <c r="K576" i="9"/>
  <c r="M55" i="9"/>
  <c r="M53" i="9" s="1"/>
  <c r="M56" i="9"/>
  <c r="M334" i="9"/>
  <c r="P334" i="9" s="1"/>
  <c r="P336" i="9"/>
  <c r="J537" i="9"/>
  <c r="J522" i="9" s="1"/>
  <c r="K540" i="9"/>
  <c r="K822" i="7"/>
  <c r="K826" i="7"/>
  <c r="L217" i="8"/>
  <c r="O217" i="8" s="1"/>
  <c r="K372" i="8"/>
  <c r="L392" i="8"/>
  <c r="O392" i="8" s="1"/>
  <c r="K824" i="8"/>
  <c r="M125" i="9"/>
  <c r="P125" i="9" s="1"/>
  <c r="L135" i="9"/>
  <c r="O135" i="9" s="1"/>
  <c r="M167" i="9"/>
  <c r="K338" i="9"/>
  <c r="L347" i="9"/>
  <c r="L345" i="9" s="1"/>
  <c r="K466" i="9"/>
  <c r="K568" i="9"/>
  <c r="L238" i="9"/>
  <c r="O238" i="9" s="1"/>
  <c r="P71" i="9"/>
  <c r="M68" i="9"/>
  <c r="O93" i="9"/>
  <c r="P170" i="9"/>
  <c r="N279" i="9"/>
  <c r="N277" i="9" s="1"/>
  <c r="K340" i="9"/>
  <c r="K355" i="9"/>
  <c r="K621" i="9"/>
  <c r="K827" i="9"/>
  <c r="M263" i="9"/>
  <c r="M261" i="9" s="1"/>
  <c r="O333" i="9"/>
  <c r="O336" i="9"/>
  <c r="M348" i="9"/>
  <c r="O660" i="9"/>
  <c r="K372" i="9"/>
  <c r="K378" i="9"/>
  <c r="L404" i="9"/>
  <c r="O404" i="9" s="1"/>
  <c r="K465" i="9"/>
  <c r="K594" i="9"/>
  <c r="K669" i="9"/>
  <c r="O29" i="9"/>
  <c r="P46" i="9"/>
  <c r="M44" i="9"/>
  <c r="P44" i="9" s="1"/>
  <c r="L56" i="9"/>
  <c r="L23" i="9"/>
  <c r="O58" i="9"/>
  <c r="O61" i="9"/>
  <c r="L59" i="9"/>
  <c r="O59" i="9" s="1"/>
  <c r="O67" i="9"/>
  <c r="K98" i="9"/>
  <c r="J86" i="9"/>
  <c r="K86" i="9" s="1"/>
  <c r="P120" i="9"/>
  <c r="P189" i="9"/>
  <c r="M187" i="9"/>
  <c r="P187" i="9" s="1"/>
  <c r="M183" i="9"/>
  <c r="M181" i="9" s="1"/>
  <c r="P333" i="9"/>
  <c r="M330" i="9"/>
  <c r="M331" i="9"/>
  <c r="M263" i="7"/>
  <c r="M261" i="7" s="1"/>
  <c r="L546" i="8"/>
  <c r="O546" i="8" s="1"/>
  <c r="K827" i="8"/>
  <c r="L121" i="9"/>
  <c r="O124" i="9"/>
  <c r="L122" i="9"/>
  <c r="O122" i="9" s="1"/>
  <c r="M135" i="9"/>
  <c r="P135" i="9" s="1"/>
  <c r="P137" i="9"/>
  <c r="O262" i="9"/>
  <c r="N264" i="9"/>
  <c r="O264" i="9" s="1"/>
  <c r="N263" i="9"/>
  <c r="O390" i="9"/>
  <c r="O19" i="9"/>
  <c r="O22" i="9"/>
  <c r="L55" i="9"/>
  <c r="N23" i="9"/>
  <c r="N55" i="9"/>
  <c r="N53" i="9" s="1"/>
  <c r="N56" i="9"/>
  <c r="P140" i="9"/>
  <c r="M138" i="9"/>
  <c r="P138" i="9" s="1"/>
  <c r="P397" i="9"/>
  <c r="M395" i="9"/>
  <c r="P395" i="9" s="1"/>
  <c r="M391" i="9"/>
  <c r="N391" i="8"/>
  <c r="N389" i="8" s="1"/>
  <c r="L9" i="9"/>
  <c r="N15" i="9"/>
  <c r="P19" i="9"/>
  <c r="N31" i="9"/>
  <c r="O42" i="9"/>
  <c r="P58" i="9"/>
  <c r="O96" i="9"/>
  <c r="L94" i="9"/>
  <c r="O94" i="9" s="1"/>
  <c r="K99" i="9"/>
  <c r="K115" i="9"/>
  <c r="I112" i="9"/>
  <c r="K112" i="9" s="1"/>
  <c r="P150" i="9"/>
  <c r="P168" i="9"/>
  <c r="I174" i="9"/>
  <c r="K176" i="9"/>
  <c r="N391" i="9"/>
  <c r="N389" i="9" s="1"/>
  <c r="N392" i="9"/>
  <c r="N183" i="7"/>
  <c r="N181" i="7" s="1"/>
  <c r="L55" i="8"/>
  <c r="L53" i="8" s="1"/>
  <c r="N134" i="8"/>
  <c r="N132" i="8" s="1"/>
  <c r="L183" i="8"/>
  <c r="L181" i="8" s="1"/>
  <c r="M263" i="8"/>
  <c r="M261" i="8" s="1"/>
  <c r="O285" i="8"/>
  <c r="M404" i="8"/>
  <c r="M408" i="8"/>
  <c r="P408" i="8" s="1"/>
  <c r="L547" i="8"/>
  <c r="O547" i="8" s="1"/>
  <c r="M9" i="9"/>
  <c r="N19" i="9"/>
  <c r="M34" i="9"/>
  <c r="P34" i="9" s="1"/>
  <c r="I76" i="9"/>
  <c r="K78" i="9"/>
  <c r="N121" i="9"/>
  <c r="N119" i="9" s="1"/>
  <c r="L151" i="9"/>
  <c r="O154" i="9"/>
  <c r="L152" i="9"/>
  <c r="O152" i="9" s="1"/>
  <c r="P184" i="9"/>
  <c r="L231" i="7"/>
  <c r="L43" i="8"/>
  <c r="N151" i="8"/>
  <c r="N149" i="8" s="1"/>
  <c r="I190" i="8"/>
  <c r="K190" i="8" s="1"/>
  <c r="M405" i="8"/>
  <c r="P405" i="8" s="1"/>
  <c r="L446" i="8"/>
  <c r="L444" i="8" s="1"/>
  <c r="I522" i="8"/>
  <c r="K522" i="8" s="1"/>
  <c r="N9" i="9"/>
  <c r="P25" i="9"/>
  <c r="I77" i="9"/>
  <c r="L90" i="9"/>
  <c r="L263" i="9"/>
  <c r="O269" i="9"/>
  <c r="L267" i="9"/>
  <c r="O267" i="9" s="1"/>
  <c r="P285" i="9"/>
  <c r="M279" i="9"/>
  <c r="P279" i="9" s="1"/>
  <c r="M283" i="9"/>
  <c r="P283" i="9" s="1"/>
  <c r="M472" i="9"/>
  <c r="L470" i="9"/>
  <c r="O470" i="9" s="1"/>
  <c r="L469" i="9"/>
  <c r="O472" i="9"/>
  <c r="O524" i="9"/>
  <c r="P660" i="9"/>
  <c r="M658" i="9"/>
  <c r="P658" i="9" s="1"/>
  <c r="M657" i="9"/>
  <c r="N687" i="9"/>
  <c r="N685" i="9" s="1"/>
  <c r="N688" i="9"/>
  <c r="N68" i="8"/>
  <c r="N66" i="8" s="1"/>
  <c r="N90" i="8"/>
  <c r="N88" i="8" s="1"/>
  <c r="P320" i="8"/>
  <c r="L631" i="8"/>
  <c r="O631" i="8" s="1"/>
  <c r="M23" i="9"/>
  <c r="N29" i="9"/>
  <c r="N28" i="9" s="1"/>
  <c r="P32" i="9"/>
  <c r="M29" i="9"/>
  <c r="O35" i="9"/>
  <c r="P74" i="9"/>
  <c r="M72" i="9"/>
  <c r="P72" i="9" s="1"/>
  <c r="O173" i="9"/>
  <c r="L171" i="9"/>
  <c r="O171" i="9" s="1"/>
  <c r="P351" i="9"/>
  <c r="L187" i="8"/>
  <c r="O187" i="8" s="1"/>
  <c r="K224" i="8"/>
  <c r="L321" i="8"/>
  <c r="O321" i="8" s="1"/>
  <c r="K381" i="8"/>
  <c r="M43" i="9"/>
  <c r="P54" i="9"/>
  <c r="O170" i="9"/>
  <c r="I216" i="9"/>
  <c r="K216" i="9" s="1"/>
  <c r="K224" i="9"/>
  <c r="P323" i="9"/>
  <c r="M317" i="9"/>
  <c r="M321" i="9"/>
  <c r="P321" i="9" s="1"/>
  <c r="I364" i="9"/>
  <c r="K374" i="9"/>
  <c r="O420" i="9"/>
  <c r="P545" i="9"/>
  <c r="L249" i="9"/>
  <c r="O249" i="9" s="1"/>
  <c r="L228" i="9"/>
  <c r="I260" i="9"/>
  <c r="K260" i="9" s="1"/>
  <c r="M264" i="9"/>
  <c r="P266" i="9"/>
  <c r="L300" i="9"/>
  <c r="L298" i="9" s="1"/>
  <c r="L321" i="9"/>
  <c r="O321" i="9" s="1"/>
  <c r="L331" i="9"/>
  <c r="N348" i="9"/>
  <c r="P353" i="9"/>
  <c r="N422" i="9"/>
  <c r="L446" i="9"/>
  <c r="O449" i="9"/>
  <c r="M449" i="9"/>
  <c r="L447" i="9"/>
  <c r="O447" i="9" s="1"/>
  <c r="K560" i="9"/>
  <c r="P755" i="9"/>
  <c r="M754" i="9"/>
  <c r="P754" i="9" s="1"/>
  <c r="N183" i="9"/>
  <c r="N181" i="9" s="1"/>
  <c r="O403" i="9"/>
  <c r="O787" i="9"/>
  <c r="M26" i="9"/>
  <c r="M300" i="9"/>
  <c r="M301" i="9"/>
  <c r="P301" i="9" s="1"/>
  <c r="L395" i="9"/>
  <c r="O395" i="9" s="1"/>
  <c r="I434" i="9"/>
  <c r="O479" i="9"/>
  <c r="I522" i="9"/>
  <c r="K522" i="9" s="1"/>
  <c r="K593" i="9"/>
  <c r="O641" i="9"/>
  <c r="L639" i="9"/>
  <c r="O639" i="9" s="1"/>
  <c r="L279" i="9"/>
  <c r="L280" i="9"/>
  <c r="O280" i="9" s="1"/>
  <c r="M523" i="9"/>
  <c r="P523" i="9" s="1"/>
  <c r="P525" i="9"/>
  <c r="O549" i="9"/>
  <c r="M47" i="9"/>
  <c r="P47" i="9" s="1"/>
  <c r="M69" i="9"/>
  <c r="P69" i="9" s="1"/>
  <c r="K79" i="9"/>
  <c r="L91" i="9"/>
  <c r="L155" i="9"/>
  <c r="O155" i="9" s="1"/>
  <c r="L168" i="9"/>
  <c r="O168" i="9" s="1"/>
  <c r="L184" i="9"/>
  <c r="O184" i="9" s="1"/>
  <c r="P186" i="9"/>
  <c r="I197" i="9"/>
  <c r="K197" i="9" s="1"/>
  <c r="I237" i="9"/>
  <c r="O299" i="9"/>
  <c r="L301" i="9"/>
  <c r="O301" i="9" s="1"/>
  <c r="J327" i="9"/>
  <c r="K327" i="9" s="1"/>
  <c r="M347" i="9"/>
  <c r="I442" i="9"/>
  <c r="K442" i="9" s="1"/>
  <c r="K460" i="9"/>
  <c r="N525" i="9"/>
  <c r="N523" i="9" s="1"/>
  <c r="N414" i="9" s="1"/>
  <c r="N756" i="9"/>
  <c r="N754" i="9" s="1"/>
  <c r="O266" i="9"/>
  <c r="J288" i="9"/>
  <c r="J275" i="9" s="1"/>
  <c r="I275" i="9"/>
  <c r="K275" i="9" s="1"/>
  <c r="M404" i="9"/>
  <c r="P407" i="9"/>
  <c r="M405" i="9"/>
  <c r="P405" i="9" s="1"/>
  <c r="J433" i="9"/>
  <c r="J417" i="9" s="1"/>
  <c r="K417" i="9" s="1"/>
  <c r="K435" i="9"/>
  <c r="P445" i="9"/>
  <c r="O686" i="9"/>
  <c r="L685" i="9"/>
  <c r="O685" i="9" s="1"/>
  <c r="M786" i="9"/>
  <c r="P786" i="9" s="1"/>
  <c r="P788" i="9"/>
  <c r="O282" i="9"/>
  <c r="K288" i="9"/>
  <c r="I297" i="9"/>
  <c r="K297" i="9" s="1"/>
  <c r="O316" i="9"/>
  <c r="O503" i="9"/>
  <c r="L502" i="9"/>
  <c r="O502" i="9" s="1"/>
  <c r="K673" i="9"/>
  <c r="M685" i="9"/>
  <c r="P685" i="9" s="1"/>
  <c r="L754" i="9"/>
  <c r="O754" i="9" s="1"/>
  <c r="O807" i="9"/>
  <c r="J654" i="9"/>
  <c r="L422" i="9"/>
  <c r="M502" i="9"/>
  <c r="P502" i="9" s="1"/>
  <c r="L658" i="9"/>
  <c r="O658" i="9" s="1"/>
  <c r="O137" i="8"/>
  <c r="M151" i="7"/>
  <c r="P151" i="7" s="1"/>
  <c r="M264" i="7"/>
  <c r="L33" i="8"/>
  <c r="O33" i="8" s="1"/>
  <c r="O61" i="8"/>
  <c r="I77" i="8"/>
  <c r="K77" i="8" s="1"/>
  <c r="L135" i="8"/>
  <c r="O135" i="8" s="1"/>
  <c r="K145" i="8"/>
  <c r="M267" i="8"/>
  <c r="P267" i="8" s="1"/>
  <c r="L280" i="8"/>
  <c r="O280" i="8" s="1"/>
  <c r="I364" i="8"/>
  <c r="M392" i="8"/>
  <c r="P392" i="8" s="1"/>
  <c r="L238" i="8"/>
  <c r="O238" i="8" s="1"/>
  <c r="N263" i="8"/>
  <c r="N261" i="8" s="1"/>
  <c r="N404" i="8"/>
  <c r="N402" i="8" s="1"/>
  <c r="L263" i="6"/>
  <c r="L261" i="6" s="1"/>
  <c r="O269" i="6"/>
  <c r="M55" i="8"/>
  <c r="O170" i="8"/>
  <c r="I174" i="8"/>
  <c r="K174" i="8" s="1"/>
  <c r="J722" i="8"/>
  <c r="P410" i="4"/>
  <c r="M125" i="6"/>
  <c r="P125" i="6" s="1"/>
  <c r="M155" i="7"/>
  <c r="P155" i="7" s="1"/>
  <c r="K370" i="7"/>
  <c r="L68" i="8"/>
  <c r="O68" i="8" s="1"/>
  <c r="P170" i="8"/>
  <c r="K244" i="8"/>
  <c r="K378" i="8"/>
  <c r="L555" i="8"/>
  <c r="O555" i="8" s="1"/>
  <c r="I559" i="8"/>
  <c r="K559" i="8" s="1"/>
  <c r="K828" i="8"/>
  <c r="L184" i="8"/>
  <c r="N55" i="8"/>
  <c r="N53" i="8" s="1"/>
  <c r="P58" i="8"/>
  <c r="O154" i="8"/>
  <c r="M279" i="8"/>
  <c r="P279" i="8" s="1"/>
  <c r="K309" i="8"/>
  <c r="M391" i="8"/>
  <c r="P391" i="8" s="1"/>
  <c r="I785" i="8"/>
  <c r="K785" i="8" s="1"/>
  <c r="K821" i="8"/>
  <c r="P266" i="7"/>
  <c r="M56" i="8"/>
  <c r="P56" i="8" s="1"/>
  <c r="M134" i="8"/>
  <c r="M132" i="8" s="1"/>
  <c r="P132" i="8" s="1"/>
  <c r="J143" i="8"/>
  <c r="J131" i="8" s="1"/>
  <c r="P266" i="8"/>
  <c r="N279" i="8"/>
  <c r="N277" i="8" s="1"/>
  <c r="M283" i="8"/>
  <c r="P283" i="8" s="1"/>
  <c r="L304" i="8"/>
  <c r="O304" i="8" s="1"/>
  <c r="L317" i="8"/>
  <c r="L315" i="8" s="1"/>
  <c r="O315" i="8" s="1"/>
  <c r="P336" i="8"/>
  <c r="L395" i="8"/>
  <c r="O395" i="8" s="1"/>
  <c r="K822" i="8"/>
  <c r="P306" i="7"/>
  <c r="M304" i="7"/>
  <c r="P304" i="7" s="1"/>
  <c r="M300" i="8"/>
  <c r="P300" i="8" s="1"/>
  <c r="P306" i="8"/>
  <c r="M304" i="8"/>
  <c r="P304" i="8" s="1"/>
  <c r="P285" i="7"/>
  <c r="M283" i="7"/>
  <c r="P283" i="7" s="1"/>
  <c r="L263" i="8"/>
  <c r="L261" i="8" s="1"/>
  <c r="O266" i="8"/>
  <c r="L264" i="8"/>
  <c r="O264" i="8" s="1"/>
  <c r="L122" i="8"/>
  <c r="O122" i="8" s="1"/>
  <c r="L121" i="8"/>
  <c r="O124" i="8"/>
  <c r="O173" i="8"/>
  <c r="L171" i="8"/>
  <c r="O171" i="8" s="1"/>
  <c r="I275" i="8"/>
  <c r="K275" i="8" s="1"/>
  <c r="J288" i="8"/>
  <c r="J275" i="8" s="1"/>
  <c r="K288" i="8"/>
  <c r="P61" i="6"/>
  <c r="M59" i="6"/>
  <c r="P59" i="6" s="1"/>
  <c r="M44" i="8"/>
  <c r="M43" i="8"/>
  <c r="I87" i="8"/>
  <c r="K87" i="8" s="1"/>
  <c r="K99" i="8"/>
  <c r="L249" i="8"/>
  <c r="L228" i="8"/>
  <c r="N300" i="8"/>
  <c r="N298" i="8" s="1"/>
  <c r="L36" i="8"/>
  <c r="O36" i="8" s="1"/>
  <c r="O431" i="8"/>
  <c r="L429" i="8"/>
  <c r="O429" i="8" s="1"/>
  <c r="K340" i="7"/>
  <c r="K297" i="3"/>
  <c r="L121" i="7"/>
  <c r="O121" i="7" s="1"/>
  <c r="L229" i="7"/>
  <c r="I260" i="7"/>
  <c r="K260" i="7" s="1"/>
  <c r="M300" i="7"/>
  <c r="P300" i="7" s="1"/>
  <c r="M395" i="7"/>
  <c r="P395" i="7" s="1"/>
  <c r="L47" i="8"/>
  <c r="O47" i="8" s="1"/>
  <c r="M59" i="8"/>
  <c r="P59" i="8" s="1"/>
  <c r="K146" i="8"/>
  <c r="L151" i="8"/>
  <c r="M301" i="8"/>
  <c r="P301" i="8" s="1"/>
  <c r="J364" i="8"/>
  <c r="L404" i="8"/>
  <c r="L421" i="8"/>
  <c r="O421" i="8" s="1"/>
  <c r="M449" i="8"/>
  <c r="P449" i="8" s="1"/>
  <c r="M121" i="7"/>
  <c r="M119" i="7" s="1"/>
  <c r="P119" i="7" s="1"/>
  <c r="L230" i="7"/>
  <c r="N26" i="8"/>
  <c r="N16" i="8" s="1"/>
  <c r="N14" i="8" s="1"/>
  <c r="P127" i="8"/>
  <c r="M264" i="8"/>
  <c r="P264" i="8" s="1"/>
  <c r="I314" i="8"/>
  <c r="K314" i="8" s="1"/>
  <c r="K674" i="8"/>
  <c r="M347" i="4"/>
  <c r="M345" i="4" s="1"/>
  <c r="K821" i="7"/>
  <c r="L72" i="8"/>
  <c r="O72" i="8" s="1"/>
  <c r="M171" i="8"/>
  <c r="P171" i="8" s="1"/>
  <c r="P186" i="8"/>
  <c r="O353" i="8"/>
  <c r="K379" i="8"/>
  <c r="L405" i="8"/>
  <c r="O405" i="8" s="1"/>
  <c r="K823" i="8"/>
  <c r="L525" i="8"/>
  <c r="O525" i="8" s="1"/>
  <c r="M125" i="7"/>
  <c r="P125" i="7" s="1"/>
  <c r="L300" i="7"/>
  <c r="O300" i="7" s="1"/>
  <c r="L688" i="7"/>
  <c r="O56" i="8"/>
  <c r="P93" i="8"/>
  <c r="M167" i="8"/>
  <c r="M165" i="8" s="1"/>
  <c r="L267" i="8"/>
  <c r="O267" i="8" s="1"/>
  <c r="K338" i="8"/>
  <c r="P351" i="8"/>
  <c r="K370" i="8"/>
  <c r="L408" i="8"/>
  <c r="O408" i="8" s="1"/>
  <c r="L422" i="8"/>
  <c r="O422" i="8" s="1"/>
  <c r="J433" i="8"/>
  <c r="J417" i="8" s="1"/>
  <c r="L447" i="8"/>
  <c r="O447" i="8" s="1"/>
  <c r="L526" i="8"/>
  <c r="O526" i="8" s="1"/>
  <c r="I654" i="8"/>
  <c r="K654" i="8" s="1"/>
  <c r="L789" i="8"/>
  <c r="O789" i="8" s="1"/>
  <c r="L69" i="8"/>
  <c r="O69" i="8" s="1"/>
  <c r="P91" i="8"/>
  <c r="L330" i="8"/>
  <c r="L328" i="8" s="1"/>
  <c r="O350" i="8"/>
  <c r="K374" i="8"/>
  <c r="L687" i="8"/>
  <c r="L685" i="8" s="1"/>
  <c r="O685" i="8" s="1"/>
  <c r="L228" i="4"/>
  <c r="M549" i="6"/>
  <c r="M547" i="6" s="1"/>
  <c r="L23" i="8"/>
  <c r="M90" i="8"/>
  <c r="P137" i="8"/>
  <c r="M151" i="8"/>
  <c r="M149" i="8" s="1"/>
  <c r="P149" i="8" s="1"/>
  <c r="P157" i="8"/>
  <c r="M183" i="8"/>
  <c r="M181" i="8" s="1"/>
  <c r="L231" i="8"/>
  <c r="P282" i="8"/>
  <c r="K340" i="8"/>
  <c r="M347" i="8"/>
  <c r="M345" i="8" s="1"/>
  <c r="P353" i="8"/>
  <c r="I628" i="8"/>
  <c r="K628" i="8" s="1"/>
  <c r="L632" i="8"/>
  <c r="O632" i="8" s="1"/>
  <c r="K669" i="8"/>
  <c r="N31" i="8"/>
  <c r="N30" i="8"/>
  <c r="K143" i="8"/>
  <c r="I131" i="8"/>
  <c r="K131" i="8" s="1"/>
  <c r="N28" i="8"/>
  <c r="K823" i="6"/>
  <c r="M549" i="7"/>
  <c r="M547" i="7" s="1"/>
  <c r="P547" i="7" s="1"/>
  <c r="L9" i="8"/>
  <c r="L26" i="8"/>
  <c r="N44" i="8"/>
  <c r="O44" i="8" s="1"/>
  <c r="O46" i="8"/>
  <c r="N72" i="8"/>
  <c r="M94" i="8"/>
  <c r="P94" i="8" s="1"/>
  <c r="M122" i="8"/>
  <c r="P122" i="8" s="1"/>
  <c r="L138" i="8"/>
  <c r="O138" i="8" s="1"/>
  <c r="K144" i="8"/>
  <c r="M152" i="8"/>
  <c r="P152" i="8" s="1"/>
  <c r="K159" i="8"/>
  <c r="N167" i="8"/>
  <c r="N165" i="8" s="1"/>
  <c r="P299" i="8"/>
  <c r="M317" i="8"/>
  <c r="P317" i="8" s="1"/>
  <c r="N330" i="8"/>
  <c r="N328" i="8" s="1"/>
  <c r="N331" i="8"/>
  <c r="P331" i="8" s="1"/>
  <c r="K594" i="8"/>
  <c r="P631" i="8"/>
  <c r="M629" i="8"/>
  <c r="P629" i="8" s="1"/>
  <c r="L231" i="6"/>
  <c r="P348" i="7"/>
  <c r="M404" i="7"/>
  <c r="P404" i="7" s="1"/>
  <c r="O634" i="7"/>
  <c r="M9" i="8"/>
  <c r="M26" i="8"/>
  <c r="P46" i="8"/>
  <c r="L59" i="8"/>
  <c r="O59" i="8" s="1"/>
  <c r="K78" i="8"/>
  <c r="N122" i="8"/>
  <c r="M138" i="8"/>
  <c r="P138" i="8" s="1"/>
  <c r="N152" i="8"/>
  <c r="N183" i="8"/>
  <c r="N181" i="8" s="1"/>
  <c r="N184" i="8"/>
  <c r="L209" i="8"/>
  <c r="O209" i="8" s="1"/>
  <c r="N317" i="8"/>
  <c r="N315" i="8" s="1"/>
  <c r="O806" i="8"/>
  <c r="L805" i="8"/>
  <c r="O805" i="8" s="1"/>
  <c r="M152" i="7"/>
  <c r="P152" i="7" s="1"/>
  <c r="N404" i="7"/>
  <c r="N402" i="7" s="1"/>
  <c r="J722" i="7"/>
  <c r="K722" i="7" s="1"/>
  <c r="N9" i="8"/>
  <c r="M23" i="8"/>
  <c r="L29" i="8"/>
  <c r="P124" i="8"/>
  <c r="P154" i="8"/>
  <c r="L300" i="8"/>
  <c r="O300" i="8" s="1"/>
  <c r="O303" i="8"/>
  <c r="L301" i="8"/>
  <c r="O301" i="8" s="1"/>
  <c r="J327" i="8"/>
  <c r="K327" i="8" s="1"/>
  <c r="I417" i="8"/>
  <c r="N446" i="8"/>
  <c r="N444" i="8" s="1"/>
  <c r="N447" i="8"/>
  <c r="N525" i="8"/>
  <c r="N523" i="8" s="1"/>
  <c r="N526" i="8"/>
  <c r="O656" i="8"/>
  <c r="L655" i="8"/>
  <c r="O655" i="8" s="1"/>
  <c r="M90" i="7"/>
  <c r="M88" i="7" s="1"/>
  <c r="M122" i="7"/>
  <c r="P122" i="7" s="1"/>
  <c r="N167" i="7"/>
  <c r="N165" i="7" s="1"/>
  <c r="L446" i="7"/>
  <c r="L444" i="7" s="1"/>
  <c r="N23" i="8"/>
  <c r="M29" i="8"/>
  <c r="M47" i="8"/>
  <c r="P47" i="8" s="1"/>
  <c r="M69" i="8"/>
  <c r="P69" i="8" s="1"/>
  <c r="K79" i="8"/>
  <c r="L91" i="8"/>
  <c r="O91" i="8" s="1"/>
  <c r="L125" i="8"/>
  <c r="O125" i="8" s="1"/>
  <c r="L155" i="8"/>
  <c r="O155" i="8" s="1"/>
  <c r="L168" i="8"/>
  <c r="O168" i="8" s="1"/>
  <c r="O278" i="8"/>
  <c r="M321" i="8"/>
  <c r="P321" i="8" s="1"/>
  <c r="K365" i="8"/>
  <c r="K466" i="8"/>
  <c r="L135" i="7"/>
  <c r="O135" i="7" s="1"/>
  <c r="I148" i="7"/>
  <c r="K148" i="7" s="1"/>
  <c r="L334" i="7"/>
  <c r="O334" i="7" s="1"/>
  <c r="M34" i="8"/>
  <c r="P34" i="8" s="1"/>
  <c r="O71" i="8"/>
  <c r="M168" i="8"/>
  <c r="P168" i="8" s="1"/>
  <c r="M184" i="8"/>
  <c r="N347" i="8"/>
  <c r="N345" i="8" s="1"/>
  <c r="N348" i="8"/>
  <c r="P348" i="8" s="1"/>
  <c r="L469" i="8"/>
  <c r="O469" i="8" s="1"/>
  <c r="O472" i="8"/>
  <c r="M472" i="8"/>
  <c r="L470" i="8"/>
  <c r="O470" i="8" s="1"/>
  <c r="K577" i="8"/>
  <c r="P71" i="8"/>
  <c r="O93" i="8"/>
  <c r="I112" i="8"/>
  <c r="K112" i="8" s="1"/>
  <c r="P182" i="8"/>
  <c r="O390" i="8"/>
  <c r="I443" i="8"/>
  <c r="K443" i="8" s="1"/>
  <c r="K462" i="8"/>
  <c r="K538" i="8"/>
  <c r="J537" i="8"/>
  <c r="J522" i="8" s="1"/>
  <c r="O299" i="8"/>
  <c r="M330" i="8"/>
  <c r="P333" i="8"/>
  <c r="N788" i="8"/>
  <c r="N786" i="8" s="1"/>
  <c r="N789" i="8"/>
  <c r="L631" i="5"/>
  <c r="L629" i="5" s="1"/>
  <c r="K338" i="6"/>
  <c r="K359" i="6"/>
  <c r="K822" i="6"/>
  <c r="L217" i="7"/>
  <c r="O217" i="7" s="1"/>
  <c r="K723" i="7"/>
  <c r="K823" i="7"/>
  <c r="K827" i="7"/>
  <c r="L167" i="8"/>
  <c r="L198" i="8"/>
  <c r="O198" i="8" s="1"/>
  <c r="K237" i="8"/>
  <c r="I226" i="8"/>
  <c r="O333" i="8"/>
  <c r="O420" i="8"/>
  <c r="P468" i="8"/>
  <c r="K621" i="8"/>
  <c r="P189" i="8"/>
  <c r="K255" i="8"/>
  <c r="K593" i="8"/>
  <c r="N632" i="8"/>
  <c r="K673" i="8"/>
  <c r="O186" i="8"/>
  <c r="O449" i="8"/>
  <c r="L502" i="8"/>
  <c r="O502" i="8" s="1"/>
  <c r="O528" i="8"/>
  <c r="K675" i="8"/>
  <c r="O739" i="8"/>
  <c r="M754" i="8"/>
  <c r="P754" i="8" s="1"/>
  <c r="N757" i="8"/>
  <c r="O772" i="8"/>
  <c r="L786" i="8"/>
  <c r="O786" i="8" s="1"/>
  <c r="O791" i="8"/>
  <c r="P807" i="8"/>
  <c r="I233" i="8"/>
  <c r="K233" i="8" s="1"/>
  <c r="P350" i="8"/>
  <c r="M424" i="8"/>
  <c r="M502" i="8"/>
  <c r="P502" i="8" s="1"/>
  <c r="N505" i="8"/>
  <c r="M523" i="8"/>
  <c r="P523" i="8" s="1"/>
  <c r="M786" i="8"/>
  <c r="P786" i="8" s="1"/>
  <c r="L318" i="8"/>
  <c r="O318" i="8" s="1"/>
  <c r="L334" i="8"/>
  <c r="O334" i="8" s="1"/>
  <c r="L351" i="8"/>
  <c r="O351" i="8" s="1"/>
  <c r="I434" i="8"/>
  <c r="L454" i="8"/>
  <c r="O454" i="8" s="1"/>
  <c r="L533" i="8"/>
  <c r="O533" i="8" s="1"/>
  <c r="O660" i="8"/>
  <c r="M690" i="8"/>
  <c r="O394" i="8"/>
  <c r="L688" i="8"/>
  <c r="O688" i="8" s="1"/>
  <c r="M737" i="8"/>
  <c r="P737" i="8" s="1"/>
  <c r="M770" i="8"/>
  <c r="P770" i="8" s="1"/>
  <c r="K146" i="6"/>
  <c r="P56" i="7"/>
  <c r="L122" i="7"/>
  <c r="O122" i="7" s="1"/>
  <c r="O124" i="7"/>
  <c r="L151" i="7"/>
  <c r="O151" i="7" s="1"/>
  <c r="O154" i="7"/>
  <c r="L187" i="7"/>
  <c r="O187" i="7" s="1"/>
  <c r="L347" i="7"/>
  <c r="L345" i="7" s="1"/>
  <c r="P351" i="7"/>
  <c r="K362" i="7"/>
  <c r="O397" i="7"/>
  <c r="O431" i="7"/>
  <c r="L477" i="7"/>
  <c r="O477" i="7" s="1"/>
  <c r="K825" i="7"/>
  <c r="I76" i="6"/>
  <c r="I64" i="6" s="1"/>
  <c r="K64" i="6" s="1"/>
  <c r="I654" i="6"/>
  <c r="K654" i="6" s="1"/>
  <c r="P124" i="7"/>
  <c r="M391" i="7"/>
  <c r="O71" i="6"/>
  <c r="L228" i="6"/>
  <c r="O410" i="6"/>
  <c r="N90" i="7"/>
  <c r="N88" i="7" s="1"/>
  <c r="O266" i="7"/>
  <c r="L301" i="7"/>
  <c r="O301" i="7" s="1"/>
  <c r="L404" i="7"/>
  <c r="O404" i="7" s="1"/>
  <c r="O407" i="7"/>
  <c r="P410" i="7"/>
  <c r="I442" i="7"/>
  <c r="K442" i="7" s="1"/>
  <c r="K728" i="7"/>
  <c r="N121" i="7"/>
  <c r="N119" i="7" s="1"/>
  <c r="I112" i="7"/>
  <c r="K112" i="7" s="1"/>
  <c r="O170" i="7"/>
  <c r="M301" i="7"/>
  <c r="P301" i="7" s="1"/>
  <c r="O306" i="7"/>
  <c r="P336" i="7"/>
  <c r="J364" i="7"/>
  <c r="M392" i="7"/>
  <c r="P392" i="7" s="1"/>
  <c r="L217" i="6"/>
  <c r="O217" i="6" s="1"/>
  <c r="N68" i="7"/>
  <c r="N66" i="7" s="1"/>
  <c r="L138" i="7"/>
  <c r="O138" i="7" s="1"/>
  <c r="P170" i="7"/>
  <c r="P303" i="7"/>
  <c r="K338" i="7"/>
  <c r="P353" i="7"/>
  <c r="K360" i="7"/>
  <c r="K378" i="7"/>
  <c r="L687" i="7"/>
  <c r="L685" i="7" s="1"/>
  <c r="L26" i="7"/>
  <c r="L24" i="7" s="1"/>
  <c r="I143" i="7"/>
  <c r="K143" i="7" s="1"/>
  <c r="O350" i="7"/>
  <c r="K362" i="5"/>
  <c r="L318" i="6"/>
  <c r="O318" i="6" s="1"/>
  <c r="K699" i="6"/>
  <c r="K255" i="7"/>
  <c r="M330" i="7"/>
  <c r="M328" i="7" s="1"/>
  <c r="K824" i="7"/>
  <c r="K828" i="7"/>
  <c r="P44" i="7"/>
  <c r="O44" i="7"/>
  <c r="L789" i="7"/>
  <c r="O789" i="7" s="1"/>
  <c r="O791" i="7"/>
  <c r="K145" i="5"/>
  <c r="N121" i="6"/>
  <c r="N119" i="6" s="1"/>
  <c r="M317" i="6"/>
  <c r="M315" i="6" s="1"/>
  <c r="P315" i="6" s="1"/>
  <c r="P320" i="6"/>
  <c r="L23" i="7"/>
  <c r="L21" i="7" s="1"/>
  <c r="P186" i="7"/>
  <c r="M184" i="7"/>
  <c r="M183" i="7"/>
  <c r="I208" i="7"/>
  <c r="K208" i="7" s="1"/>
  <c r="K215" i="7"/>
  <c r="N183" i="6"/>
  <c r="N181" i="6" s="1"/>
  <c r="P351" i="6"/>
  <c r="M43" i="7"/>
  <c r="M41" i="7" s="1"/>
  <c r="P46" i="7"/>
  <c r="L55" i="7"/>
  <c r="L53" i="7" s="1"/>
  <c r="M26" i="7"/>
  <c r="M16" i="7" s="1"/>
  <c r="M14" i="7" s="1"/>
  <c r="L68" i="7"/>
  <c r="O68" i="7" s="1"/>
  <c r="M23" i="7"/>
  <c r="M21" i="7" s="1"/>
  <c r="L238" i="7"/>
  <c r="O238" i="7" s="1"/>
  <c r="N391" i="7"/>
  <c r="N389" i="7" s="1"/>
  <c r="N395" i="7"/>
  <c r="L43" i="7"/>
  <c r="L41" i="7" s="1"/>
  <c r="L47" i="7"/>
  <c r="O47" i="7" s="1"/>
  <c r="O49" i="7"/>
  <c r="L56" i="7"/>
  <c r="O56" i="7" s="1"/>
  <c r="L788" i="7"/>
  <c r="O788" i="7" s="1"/>
  <c r="L134" i="6"/>
  <c r="O134" i="6" s="1"/>
  <c r="P49" i="7"/>
  <c r="L69" i="7"/>
  <c r="O69" i="7" s="1"/>
  <c r="M317" i="7"/>
  <c r="P317" i="7" s="1"/>
  <c r="K193" i="6"/>
  <c r="I785" i="6"/>
  <c r="K785" i="6" s="1"/>
  <c r="P58" i="7"/>
  <c r="M72" i="7"/>
  <c r="P72" i="7" s="1"/>
  <c r="M91" i="7"/>
  <c r="O96" i="7"/>
  <c r="L94" i="7"/>
  <c r="O94" i="7" s="1"/>
  <c r="L631" i="7"/>
  <c r="L639" i="7"/>
  <c r="O639" i="7" s="1"/>
  <c r="O641" i="7"/>
  <c r="N151" i="7"/>
  <c r="N149" i="7" s="1"/>
  <c r="N155" i="7"/>
  <c r="M688" i="7"/>
  <c r="P688" i="7" s="1"/>
  <c r="M687" i="7"/>
  <c r="M685" i="7" s="1"/>
  <c r="J143" i="5"/>
  <c r="J131" i="5" s="1"/>
  <c r="L264" i="6"/>
  <c r="J721" i="6"/>
  <c r="L59" i="7"/>
  <c r="O59" i="7" s="1"/>
  <c r="I77" i="7"/>
  <c r="K77" i="7" s="1"/>
  <c r="P96" i="7"/>
  <c r="M94" i="7"/>
  <c r="P94" i="7" s="1"/>
  <c r="J143" i="7"/>
  <c r="J131" i="7" s="1"/>
  <c r="I174" i="7"/>
  <c r="I164" i="7" s="1"/>
  <c r="K164" i="7" s="1"/>
  <c r="K176" i="7"/>
  <c r="P189" i="7"/>
  <c r="M187" i="7"/>
  <c r="P187" i="7" s="1"/>
  <c r="P331" i="7"/>
  <c r="O331" i="7"/>
  <c r="K193" i="7"/>
  <c r="L279" i="7"/>
  <c r="O279" i="7" s="1"/>
  <c r="K309" i="7"/>
  <c r="L321" i="7"/>
  <c r="O321" i="7" s="1"/>
  <c r="K365" i="7"/>
  <c r="K700" i="7"/>
  <c r="M167" i="7"/>
  <c r="O353" i="7"/>
  <c r="K359" i="7"/>
  <c r="K369" i="7"/>
  <c r="K435" i="7"/>
  <c r="I785" i="7"/>
  <c r="K785" i="7" s="1"/>
  <c r="L171" i="7"/>
  <c r="O171" i="7" s="1"/>
  <c r="N184" i="7"/>
  <c r="K561" i="7"/>
  <c r="K577" i="7"/>
  <c r="L134" i="7"/>
  <c r="O134" i="7" s="1"/>
  <c r="M168" i="7"/>
  <c r="M171" i="7"/>
  <c r="P171" i="7" s="1"/>
  <c r="L283" i="7"/>
  <c r="O283" i="7" s="1"/>
  <c r="K374" i="7"/>
  <c r="K86" i="7"/>
  <c r="K287" i="7"/>
  <c r="N300" i="7"/>
  <c r="N298" i="7" s="1"/>
  <c r="O333" i="7"/>
  <c r="N347" i="7"/>
  <c r="N345" i="7" s="1"/>
  <c r="J537" i="7"/>
  <c r="J522" i="7" s="1"/>
  <c r="J327" i="7"/>
  <c r="K327" i="7" s="1"/>
  <c r="O348" i="7"/>
  <c r="P350" i="7"/>
  <c r="K355" i="7"/>
  <c r="K381" i="7"/>
  <c r="M405" i="7"/>
  <c r="P405" i="7" s="1"/>
  <c r="P407" i="7"/>
  <c r="O410" i="7"/>
  <c r="K726" i="7"/>
  <c r="O29" i="7"/>
  <c r="P15" i="7"/>
  <c r="N9" i="7"/>
  <c r="L138" i="6"/>
  <c r="O138" i="6" s="1"/>
  <c r="M152" i="6"/>
  <c r="P152" i="6" s="1"/>
  <c r="O191" i="6"/>
  <c r="N19" i="7"/>
  <c r="O93" i="7"/>
  <c r="L183" i="7"/>
  <c r="L184" i="7"/>
  <c r="I237" i="7"/>
  <c r="I233" i="7"/>
  <c r="K233" i="7" s="1"/>
  <c r="K244" i="7"/>
  <c r="I314" i="7"/>
  <c r="K314" i="7" s="1"/>
  <c r="K325" i="7"/>
  <c r="M786" i="7"/>
  <c r="P786" i="7" s="1"/>
  <c r="P788" i="7"/>
  <c r="O137" i="5"/>
  <c r="L43" i="6"/>
  <c r="L41" i="6" s="1"/>
  <c r="J143" i="6"/>
  <c r="J131" i="6" s="1"/>
  <c r="L477" i="6"/>
  <c r="O477" i="6" s="1"/>
  <c r="M12" i="7"/>
  <c r="O19" i="7"/>
  <c r="M59" i="7"/>
  <c r="P59" i="7" s="1"/>
  <c r="P61" i="7"/>
  <c r="M68" i="7"/>
  <c r="M69" i="7"/>
  <c r="P69" i="7" s="1"/>
  <c r="O557" i="7"/>
  <c r="L555" i="7"/>
  <c r="O555" i="7" s="1"/>
  <c r="L546" i="7"/>
  <c r="N334" i="7"/>
  <c r="N330" i="7"/>
  <c r="N328" i="7" s="1"/>
  <c r="N470" i="7"/>
  <c r="N469" i="7"/>
  <c r="N467" i="7" s="1"/>
  <c r="O49" i="6"/>
  <c r="O61" i="6"/>
  <c r="O397" i="6"/>
  <c r="P25" i="7"/>
  <c r="P32" i="7"/>
  <c r="L15" i="7"/>
  <c r="O35" i="7"/>
  <c r="M55" i="7"/>
  <c r="O74" i="7"/>
  <c r="L72" i="7"/>
  <c r="O72" i="7" s="1"/>
  <c r="N91" i="7"/>
  <c r="P262" i="7"/>
  <c r="P346" i="7"/>
  <c r="P266" i="6"/>
  <c r="K372" i="6"/>
  <c r="P394" i="6"/>
  <c r="L447" i="6"/>
  <c r="O447" i="6" s="1"/>
  <c r="J722" i="6"/>
  <c r="O12" i="7"/>
  <c r="M19" i="7"/>
  <c r="N43" i="7"/>
  <c r="N41" i="7" s="1"/>
  <c r="N23" i="7"/>
  <c r="N55" i="7"/>
  <c r="N53" i="7" s="1"/>
  <c r="O67" i="7"/>
  <c r="O120" i="7"/>
  <c r="O127" i="7"/>
  <c r="O150" i="7"/>
  <c r="O157" i="7"/>
  <c r="N168" i="7"/>
  <c r="O186" i="7"/>
  <c r="L198" i="7"/>
  <c r="O198" i="7" s="1"/>
  <c r="M267" i="7"/>
  <c r="P267" i="7" s="1"/>
  <c r="P269" i="7"/>
  <c r="N505" i="7"/>
  <c r="N504" i="7"/>
  <c r="N502" i="7" s="1"/>
  <c r="O157" i="6"/>
  <c r="O285" i="6"/>
  <c r="L317" i="6"/>
  <c r="O317" i="6" s="1"/>
  <c r="O323" i="6"/>
  <c r="N33" i="7"/>
  <c r="O46" i="7"/>
  <c r="P71" i="7"/>
  <c r="M134" i="7"/>
  <c r="P134" i="7" s="1"/>
  <c r="P137" i="7"/>
  <c r="I434" i="7"/>
  <c r="M805" i="7"/>
  <c r="P805" i="7" s="1"/>
  <c r="P807" i="7"/>
  <c r="M267" i="6"/>
  <c r="P267" i="6" s="1"/>
  <c r="I559" i="6"/>
  <c r="I543" i="6" s="1"/>
  <c r="K543" i="6" s="1"/>
  <c r="L9" i="7"/>
  <c r="N26" i="7"/>
  <c r="N16" i="7" s="1"/>
  <c r="N14" i="7" s="1"/>
  <c r="L90" i="7"/>
  <c r="L91" i="7"/>
  <c r="K98" i="7"/>
  <c r="N134" i="7"/>
  <c r="N132" i="7" s="1"/>
  <c r="N135" i="7"/>
  <c r="I216" i="7"/>
  <c r="K216" i="7" s="1"/>
  <c r="K224" i="7"/>
  <c r="O320" i="7"/>
  <c r="L318" i="7"/>
  <c r="O318" i="7" s="1"/>
  <c r="L317" i="7"/>
  <c r="K372" i="7"/>
  <c r="N405" i="7"/>
  <c r="P29" i="7"/>
  <c r="N788" i="7"/>
  <c r="N789" i="7"/>
  <c r="P336" i="6"/>
  <c r="K362" i="6"/>
  <c r="P22" i="7"/>
  <c r="L36" i="7"/>
  <c r="O36" i="7" s="1"/>
  <c r="I76" i="7"/>
  <c r="P93" i="7"/>
  <c r="L167" i="7"/>
  <c r="L168" i="7"/>
  <c r="L209" i="7"/>
  <c r="O209" i="7" s="1"/>
  <c r="L249" i="7"/>
  <c r="L228" i="7"/>
  <c r="N279" i="7"/>
  <c r="N277" i="7" s="1"/>
  <c r="P320" i="7"/>
  <c r="M318" i="7"/>
  <c r="P318" i="7" s="1"/>
  <c r="P140" i="7"/>
  <c r="L264" i="7"/>
  <c r="N263" i="7"/>
  <c r="N264" i="7"/>
  <c r="M280" i="7"/>
  <c r="P280" i="7" s="1"/>
  <c r="O282" i="7"/>
  <c r="P329" i="7"/>
  <c r="P333" i="7"/>
  <c r="L351" i="7"/>
  <c r="O351" i="7" s="1"/>
  <c r="L391" i="7"/>
  <c r="O391" i="7" s="1"/>
  <c r="L392" i="7"/>
  <c r="O392" i="7" s="1"/>
  <c r="K466" i="7"/>
  <c r="L502" i="7"/>
  <c r="O502" i="7" s="1"/>
  <c r="P656" i="7"/>
  <c r="I443" i="7"/>
  <c r="K443" i="7" s="1"/>
  <c r="K462" i="7"/>
  <c r="O660" i="7"/>
  <c r="M660" i="7"/>
  <c r="L658" i="7"/>
  <c r="O658" i="7" s="1"/>
  <c r="P686" i="7"/>
  <c r="O787" i="7"/>
  <c r="O806" i="7"/>
  <c r="L805" i="7"/>
  <c r="O805" i="7" s="1"/>
  <c r="L33" i="7"/>
  <c r="L31" i="7" s="1"/>
  <c r="N317" i="7"/>
  <c r="N315" i="7" s="1"/>
  <c r="N318" i="7"/>
  <c r="L330" i="7"/>
  <c r="M347" i="7"/>
  <c r="K379" i="7"/>
  <c r="L421" i="7"/>
  <c r="O421" i="7" s="1"/>
  <c r="M424" i="7"/>
  <c r="L422" i="7"/>
  <c r="O422" i="7" s="1"/>
  <c r="M449" i="7"/>
  <c r="P503" i="7"/>
  <c r="M502" i="7"/>
  <c r="P502" i="7" s="1"/>
  <c r="P524" i="7"/>
  <c r="M523" i="7"/>
  <c r="P523" i="7" s="1"/>
  <c r="K537" i="7"/>
  <c r="O549" i="7"/>
  <c r="N547" i="7"/>
  <c r="O547" i="7" s="1"/>
  <c r="K569" i="7"/>
  <c r="L657" i="7"/>
  <c r="L263" i="7"/>
  <c r="M279" i="7"/>
  <c r="I364" i="7"/>
  <c r="J433" i="7"/>
  <c r="L447" i="7"/>
  <c r="O447" i="7" s="1"/>
  <c r="N446" i="7"/>
  <c r="N444" i="7" s="1"/>
  <c r="N447" i="7"/>
  <c r="N523" i="7"/>
  <c r="K593" i="7"/>
  <c r="J592" i="7"/>
  <c r="K592" i="7" s="1"/>
  <c r="N786" i="7"/>
  <c r="J288" i="7"/>
  <c r="J275" i="7" s="1"/>
  <c r="I275" i="7"/>
  <c r="K275" i="7" s="1"/>
  <c r="P316" i="7"/>
  <c r="P468" i="7"/>
  <c r="P555" i="7"/>
  <c r="M545" i="7"/>
  <c r="K576" i="7"/>
  <c r="I559" i="7"/>
  <c r="K672" i="7"/>
  <c r="K675" i="7"/>
  <c r="K674" i="7"/>
  <c r="I654" i="7"/>
  <c r="K654" i="7" s="1"/>
  <c r="O690" i="7"/>
  <c r="N687" i="7"/>
  <c r="N688" i="7"/>
  <c r="K288" i="7"/>
  <c r="P323" i="7"/>
  <c r="P445" i="7"/>
  <c r="L454" i="7"/>
  <c r="O454" i="7" s="1"/>
  <c r="L469" i="7"/>
  <c r="O472" i="7"/>
  <c r="M472" i="7"/>
  <c r="L470" i="7"/>
  <c r="O470" i="7" s="1"/>
  <c r="I522" i="7"/>
  <c r="K522" i="7" s="1"/>
  <c r="L525" i="7"/>
  <c r="O525" i="7" s="1"/>
  <c r="L526" i="7"/>
  <c r="O526" i="7" s="1"/>
  <c r="K669" i="7"/>
  <c r="P690" i="7"/>
  <c r="K725" i="7"/>
  <c r="P755" i="7"/>
  <c r="M754" i="7"/>
  <c r="P754" i="7" s="1"/>
  <c r="L533" i="7"/>
  <c r="O533" i="7" s="1"/>
  <c r="K577" i="6"/>
  <c r="O336" i="5"/>
  <c r="L36" i="5"/>
  <c r="O36" i="5" s="1"/>
  <c r="M94" i="6"/>
  <c r="P94" i="6" s="1"/>
  <c r="K98" i="6"/>
  <c r="K145" i="6"/>
  <c r="P173" i="6"/>
  <c r="P285" i="6"/>
  <c r="L334" i="6"/>
  <c r="O334" i="6" s="1"/>
  <c r="O557" i="6"/>
  <c r="L788" i="6"/>
  <c r="L786" i="6" s="1"/>
  <c r="O786" i="6" s="1"/>
  <c r="O791" i="6"/>
  <c r="K821" i="6"/>
  <c r="O93" i="6"/>
  <c r="M151" i="5"/>
  <c r="P151" i="5" s="1"/>
  <c r="O157" i="5"/>
  <c r="L249" i="5"/>
  <c r="O249" i="5" s="1"/>
  <c r="M263" i="5"/>
  <c r="M261" i="5" s="1"/>
  <c r="M330" i="5"/>
  <c r="M328" i="5" s="1"/>
  <c r="O46" i="6"/>
  <c r="P124" i="6"/>
  <c r="N167" i="6"/>
  <c r="N165" i="6" s="1"/>
  <c r="P186" i="6"/>
  <c r="P157" i="5"/>
  <c r="L658" i="5"/>
  <c r="O658" i="5" s="1"/>
  <c r="L44" i="6"/>
  <c r="O44" i="6" s="1"/>
  <c r="L125" i="6"/>
  <c r="O125" i="6" s="1"/>
  <c r="M279" i="6"/>
  <c r="P279" i="6" s="1"/>
  <c r="O331" i="6"/>
  <c r="K340" i="6"/>
  <c r="K370" i="6"/>
  <c r="P186" i="5"/>
  <c r="I77" i="6"/>
  <c r="K77" i="6" s="1"/>
  <c r="M280" i="6"/>
  <c r="P280" i="6" s="1"/>
  <c r="J364" i="6"/>
  <c r="M347" i="5"/>
  <c r="M345" i="5" s="1"/>
  <c r="K594" i="5"/>
  <c r="K79" i="6"/>
  <c r="L90" i="6"/>
  <c r="L88" i="6" s="1"/>
  <c r="L167" i="6"/>
  <c r="L165" i="6" s="1"/>
  <c r="L183" i="6"/>
  <c r="L181" i="6" s="1"/>
  <c r="I233" i="6"/>
  <c r="K233" i="6" s="1"/>
  <c r="I364" i="6"/>
  <c r="P407" i="6"/>
  <c r="L454" i="6"/>
  <c r="O454" i="6" s="1"/>
  <c r="O353" i="5"/>
  <c r="N134" i="6"/>
  <c r="N132" i="6" s="1"/>
  <c r="M183" i="6"/>
  <c r="M181" i="6" s="1"/>
  <c r="P189" i="6"/>
  <c r="J327" i="6"/>
  <c r="K327" i="6" s="1"/>
  <c r="O348" i="6"/>
  <c r="K355" i="6"/>
  <c r="M138" i="6"/>
  <c r="P138" i="6" s="1"/>
  <c r="P140" i="6"/>
  <c r="P410" i="6"/>
  <c r="M408" i="6"/>
  <c r="P408" i="6" s="1"/>
  <c r="K460" i="6"/>
  <c r="P350" i="5"/>
  <c r="K824" i="6"/>
  <c r="O306" i="5"/>
  <c r="L304" i="5"/>
  <c r="O304" i="5" s="1"/>
  <c r="K325" i="5"/>
  <c r="K537" i="5"/>
  <c r="I522" i="5"/>
  <c r="K522" i="5" s="1"/>
  <c r="M69" i="6"/>
  <c r="P69" i="6" s="1"/>
  <c r="K224" i="6"/>
  <c r="N264" i="6"/>
  <c r="N263" i="6"/>
  <c r="N261" i="6" s="1"/>
  <c r="O306" i="6"/>
  <c r="M395" i="6"/>
  <c r="P395" i="6" s="1"/>
  <c r="P397" i="6"/>
  <c r="P264" i="4"/>
  <c r="N43" i="6"/>
  <c r="M121" i="6"/>
  <c r="P121" i="6" s="1"/>
  <c r="I143" i="6"/>
  <c r="N391" i="6"/>
  <c r="N389" i="6" s="1"/>
  <c r="N392" i="6"/>
  <c r="L264" i="5"/>
  <c r="L263" i="5"/>
  <c r="L261" i="5" s="1"/>
  <c r="K244" i="6"/>
  <c r="P306" i="6"/>
  <c r="M304" i="6"/>
  <c r="P304" i="6" s="1"/>
  <c r="O407" i="6"/>
  <c r="L405" i="6"/>
  <c r="O405" i="6" s="1"/>
  <c r="P137" i="5"/>
  <c r="I248" i="5"/>
  <c r="K248" i="5" s="1"/>
  <c r="K255" i="5"/>
  <c r="K99" i="6"/>
  <c r="I148" i="6"/>
  <c r="K148" i="6" s="1"/>
  <c r="K159" i="6"/>
  <c r="L209" i="6"/>
  <c r="O209" i="6" s="1"/>
  <c r="M263" i="6"/>
  <c r="M261" i="6" s="1"/>
  <c r="K369" i="6"/>
  <c r="M391" i="6"/>
  <c r="P391" i="6" s="1"/>
  <c r="M68" i="6"/>
  <c r="P68" i="6" s="1"/>
  <c r="O303" i="6"/>
  <c r="L300" i="6"/>
  <c r="O300" i="6" s="1"/>
  <c r="L347" i="4"/>
  <c r="L345" i="4" s="1"/>
  <c r="J721" i="4"/>
  <c r="O96" i="5"/>
  <c r="M264" i="5"/>
  <c r="L55" i="6"/>
  <c r="L53" i="6" s="1"/>
  <c r="L56" i="6"/>
  <c r="O56" i="6" s="1"/>
  <c r="L68" i="6"/>
  <c r="L66" i="6" s="1"/>
  <c r="O66" i="6" s="1"/>
  <c r="O74" i="6"/>
  <c r="L301" i="6"/>
  <c r="O301" i="6" s="1"/>
  <c r="N330" i="6"/>
  <c r="N328" i="6" s="1"/>
  <c r="N404" i="6"/>
  <c r="N402" i="6" s="1"/>
  <c r="L33" i="6"/>
  <c r="K649" i="6"/>
  <c r="N68" i="6"/>
  <c r="N66" i="6" s="1"/>
  <c r="K287" i="6"/>
  <c r="I276" i="6"/>
  <c r="K276" i="6" s="1"/>
  <c r="I433" i="6"/>
  <c r="I417" i="6" s="1"/>
  <c r="J433" i="6"/>
  <c r="J417" i="6" s="1"/>
  <c r="M267" i="5"/>
  <c r="P267" i="5" s="1"/>
  <c r="P269" i="5"/>
  <c r="M90" i="6"/>
  <c r="M88" i="6" s="1"/>
  <c r="P93" i="6"/>
  <c r="M91" i="6"/>
  <c r="P91" i="6" s="1"/>
  <c r="L429" i="6"/>
  <c r="O429" i="6" s="1"/>
  <c r="O431" i="6"/>
  <c r="L36" i="6"/>
  <c r="K340" i="5"/>
  <c r="N300" i="6"/>
  <c r="N298" i="6" s="1"/>
  <c r="O351" i="6"/>
  <c r="K360" i="6"/>
  <c r="L446" i="6"/>
  <c r="O446" i="6" s="1"/>
  <c r="K674" i="6"/>
  <c r="K825" i="6"/>
  <c r="I364" i="5"/>
  <c r="M55" i="6"/>
  <c r="M53" i="6" s="1"/>
  <c r="L26" i="6"/>
  <c r="L24" i="6" s="1"/>
  <c r="N184" i="6"/>
  <c r="O184" i="6" s="1"/>
  <c r="I248" i="6"/>
  <c r="K248" i="6" s="1"/>
  <c r="I297" i="6"/>
  <c r="K297" i="6" s="1"/>
  <c r="L546" i="6"/>
  <c r="L544" i="6" s="1"/>
  <c r="K647" i="6"/>
  <c r="K675" i="6"/>
  <c r="K826" i="6"/>
  <c r="K823" i="5"/>
  <c r="P58" i="6"/>
  <c r="M167" i="6"/>
  <c r="O266" i="6"/>
  <c r="K537" i="6"/>
  <c r="K827" i="6"/>
  <c r="P19" i="6"/>
  <c r="O15" i="6"/>
  <c r="L134" i="5"/>
  <c r="L132" i="5" s="1"/>
  <c r="O301" i="5"/>
  <c r="L470" i="5"/>
  <c r="O470" i="5" s="1"/>
  <c r="L688" i="5"/>
  <c r="O688" i="5" s="1"/>
  <c r="O42" i="6"/>
  <c r="M151" i="6"/>
  <c r="P151" i="6" s="1"/>
  <c r="L151" i="6"/>
  <c r="O151" i="6" s="1"/>
  <c r="O154" i="6"/>
  <c r="L152" i="6"/>
  <c r="O152" i="6" s="1"/>
  <c r="K237" i="6"/>
  <c r="L280" i="6"/>
  <c r="O280" i="6" s="1"/>
  <c r="L279" i="6"/>
  <c r="O279" i="6" s="1"/>
  <c r="O282" i="6"/>
  <c r="P329" i="6"/>
  <c r="M347" i="6"/>
  <c r="M345" i="6" s="1"/>
  <c r="P350" i="6"/>
  <c r="M348" i="6"/>
  <c r="P348" i="6" s="1"/>
  <c r="P524" i="6"/>
  <c r="M523" i="6"/>
  <c r="P523" i="6" s="1"/>
  <c r="N631" i="6"/>
  <c r="N629" i="6" s="1"/>
  <c r="N632" i="6"/>
  <c r="M134" i="6"/>
  <c r="P134" i="6" s="1"/>
  <c r="P137" i="6"/>
  <c r="N279" i="6"/>
  <c r="N277" i="6" s="1"/>
  <c r="P630" i="6"/>
  <c r="K823" i="4"/>
  <c r="I130" i="5"/>
  <c r="K130" i="5" s="1"/>
  <c r="L209" i="5"/>
  <c r="O209" i="5" s="1"/>
  <c r="K378" i="5"/>
  <c r="I434" i="5"/>
  <c r="I418" i="5" s="1"/>
  <c r="K418" i="5" s="1"/>
  <c r="O660" i="5"/>
  <c r="I785" i="5"/>
  <c r="K785" i="5" s="1"/>
  <c r="K828" i="5"/>
  <c r="N26" i="6"/>
  <c r="N29" i="6"/>
  <c r="N28" i="6" s="1"/>
  <c r="N33" i="6"/>
  <c r="N30" i="6" s="1"/>
  <c r="M26" i="6"/>
  <c r="M24" i="6" s="1"/>
  <c r="P54" i="6"/>
  <c r="P56" i="6"/>
  <c r="L91" i="6"/>
  <c r="O91" i="6" s="1"/>
  <c r="O96" i="6"/>
  <c r="L94" i="6"/>
  <c r="O94" i="6" s="1"/>
  <c r="N151" i="6"/>
  <c r="N149" i="6" s="1"/>
  <c r="K225" i="6"/>
  <c r="J226" i="6"/>
  <c r="J180" i="6" s="1"/>
  <c r="N347" i="6"/>
  <c r="N345" i="6" s="1"/>
  <c r="P353" i="6"/>
  <c r="N657" i="6"/>
  <c r="N655" i="6" s="1"/>
  <c r="N658" i="6"/>
  <c r="O690" i="6"/>
  <c r="L688" i="6"/>
  <c r="O688" i="6" s="1"/>
  <c r="M690" i="6"/>
  <c r="L687" i="6"/>
  <c r="L121" i="6"/>
  <c r="O124" i="6"/>
  <c r="L122" i="6"/>
  <c r="O122" i="6" s="1"/>
  <c r="O173" i="6"/>
  <c r="L171" i="6"/>
  <c r="O171" i="6" s="1"/>
  <c r="P333" i="6"/>
  <c r="M331" i="6"/>
  <c r="P331" i="6" s="1"/>
  <c r="M330" i="6"/>
  <c r="L9" i="6"/>
  <c r="L23" i="6"/>
  <c r="N47" i="6"/>
  <c r="I112" i="6"/>
  <c r="K112" i="6" s="1"/>
  <c r="K325" i="6"/>
  <c r="P390" i="6"/>
  <c r="N788" i="6"/>
  <c r="N789" i="6"/>
  <c r="N808" i="6"/>
  <c r="N807" i="6"/>
  <c r="N805" i="6" s="1"/>
  <c r="K385" i="5"/>
  <c r="O549" i="5"/>
  <c r="K822" i="5"/>
  <c r="M9" i="6"/>
  <c r="N12" i="6"/>
  <c r="M23" i="6"/>
  <c r="M34" i="6"/>
  <c r="P34" i="6" s="1"/>
  <c r="M43" i="6"/>
  <c r="P49" i="6"/>
  <c r="L135" i="6"/>
  <c r="O135" i="6" s="1"/>
  <c r="O137" i="6"/>
  <c r="M168" i="6"/>
  <c r="O170" i="6"/>
  <c r="O189" i="6"/>
  <c r="L187" i="6"/>
  <c r="O187" i="6" s="1"/>
  <c r="I208" i="6"/>
  <c r="K208" i="6" s="1"/>
  <c r="K215" i="6"/>
  <c r="O316" i="6"/>
  <c r="K378" i="6"/>
  <c r="L391" i="6"/>
  <c r="L392" i="6"/>
  <c r="O392" i="6" s="1"/>
  <c r="O394" i="6"/>
  <c r="P503" i="6"/>
  <c r="M502" i="6"/>
  <c r="P502" i="6" s="1"/>
  <c r="N300" i="4"/>
  <c r="N298" i="4" s="1"/>
  <c r="I233" i="5"/>
  <c r="K233" i="5" s="1"/>
  <c r="M317" i="5"/>
  <c r="P317" i="5" s="1"/>
  <c r="N330" i="5"/>
  <c r="N328" i="5" s="1"/>
  <c r="P407" i="5"/>
  <c r="N23" i="6"/>
  <c r="P25" i="6"/>
  <c r="N55" i="6"/>
  <c r="O58" i="6"/>
  <c r="P89" i="6"/>
  <c r="M135" i="6"/>
  <c r="P135" i="6" s="1"/>
  <c r="O150" i="6"/>
  <c r="M155" i="6"/>
  <c r="P155" i="6" s="1"/>
  <c r="N168" i="6"/>
  <c r="O168" i="6" s="1"/>
  <c r="P170" i="6"/>
  <c r="L198" i="6"/>
  <c r="O198" i="6" s="1"/>
  <c r="L238" i="6"/>
  <c r="L229" i="6"/>
  <c r="O278" i="6"/>
  <c r="I443" i="6"/>
  <c r="K443" i="6" s="1"/>
  <c r="K462" i="6"/>
  <c r="O299" i="6"/>
  <c r="I276" i="4"/>
  <c r="K276" i="4" s="1"/>
  <c r="K370" i="4"/>
  <c r="P44" i="5"/>
  <c r="K359" i="5"/>
  <c r="K370" i="5"/>
  <c r="P46" i="6"/>
  <c r="M44" i="6"/>
  <c r="P44" i="6" s="1"/>
  <c r="N69" i="6"/>
  <c r="P74" i="6"/>
  <c r="M72" i="6"/>
  <c r="P72" i="6" s="1"/>
  <c r="N135" i="6"/>
  <c r="P150" i="6"/>
  <c r="I174" i="6"/>
  <c r="M184" i="6"/>
  <c r="O186" i="6"/>
  <c r="L230" i="6"/>
  <c r="K271" i="6"/>
  <c r="J288" i="6"/>
  <c r="J275" i="6" s="1"/>
  <c r="I275" i="6"/>
  <c r="K275" i="6" s="1"/>
  <c r="O353" i="6"/>
  <c r="K379" i="6"/>
  <c r="O403" i="6"/>
  <c r="K438" i="6"/>
  <c r="I434" i="6"/>
  <c r="K560" i="6"/>
  <c r="K374" i="4"/>
  <c r="O191" i="5"/>
  <c r="K360" i="5"/>
  <c r="L405" i="5"/>
  <c r="O405" i="5" s="1"/>
  <c r="J433" i="5"/>
  <c r="J417" i="5" s="1"/>
  <c r="N90" i="6"/>
  <c r="P120" i="6"/>
  <c r="K538" i="6"/>
  <c r="J537" i="6"/>
  <c r="J522" i="6" s="1"/>
  <c r="N546" i="6"/>
  <c r="N544" i="6" s="1"/>
  <c r="N547" i="6"/>
  <c r="O547" i="6" s="1"/>
  <c r="J592" i="6"/>
  <c r="K592" i="6" s="1"/>
  <c r="K593" i="6"/>
  <c r="L631" i="6"/>
  <c r="M634" i="6"/>
  <c r="L632" i="6"/>
  <c r="O632" i="6" s="1"/>
  <c r="O634" i="6"/>
  <c r="K374" i="6"/>
  <c r="L404" i="6"/>
  <c r="O404" i="6" s="1"/>
  <c r="L421" i="6"/>
  <c r="M424" i="6"/>
  <c r="L422" i="6"/>
  <c r="O422" i="6" s="1"/>
  <c r="N502" i="6"/>
  <c r="L525" i="6"/>
  <c r="O528" i="6"/>
  <c r="N685" i="6"/>
  <c r="O771" i="6"/>
  <c r="L770" i="6"/>
  <c r="O770" i="6" s="1"/>
  <c r="O806" i="6"/>
  <c r="L805" i="6"/>
  <c r="O805" i="6" s="1"/>
  <c r="N414" i="6"/>
  <c r="I628" i="6"/>
  <c r="K628" i="6" s="1"/>
  <c r="K651" i="6"/>
  <c r="O738" i="6"/>
  <c r="L737" i="6"/>
  <c r="O737" i="6" s="1"/>
  <c r="P806" i="6"/>
  <c r="M805" i="6"/>
  <c r="P805" i="6" s="1"/>
  <c r="L249" i="6"/>
  <c r="O249" i="6" s="1"/>
  <c r="M264" i="6"/>
  <c r="M301" i="6"/>
  <c r="P301" i="6" s="1"/>
  <c r="M300" i="6"/>
  <c r="P346" i="6"/>
  <c r="K365" i="6"/>
  <c r="K381" i="6"/>
  <c r="O424" i="6"/>
  <c r="L469" i="6"/>
  <c r="M472" i="6"/>
  <c r="L470" i="6"/>
  <c r="O470" i="6" s="1"/>
  <c r="N786" i="6"/>
  <c r="N317" i="6"/>
  <c r="N315" i="6" s="1"/>
  <c r="N318" i="6"/>
  <c r="P323" i="6"/>
  <c r="M321" i="6"/>
  <c r="P321" i="6" s="1"/>
  <c r="L330" i="6"/>
  <c r="O333" i="6"/>
  <c r="L347" i="6"/>
  <c r="O350" i="6"/>
  <c r="O549" i="6"/>
  <c r="J594" i="6"/>
  <c r="K594" i="6" s="1"/>
  <c r="L657" i="6"/>
  <c r="M660" i="6"/>
  <c r="L658" i="6"/>
  <c r="M404" i="6"/>
  <c r="K669" i="6"/>
  <c r="L533" i="6"/>
  <c r="O533" i="6" s="1"/>
  <c r="L639" i="6"/>
  <c r="O639" i="6" s="1"/>
  <c r="K672" i="6"/>
  <c r="P168" i="5"/>
  <c r="N263" i="5"/>
  <c r="N261" i="5" s="1"/>
  <c r="O74" i="4"/>
  <c r="K146" i="4"/>
  <c r="O660" i="4"/>
  <c r="K828" i="4"/>
  <c r="P46" i="5"/>
  <c r="L121" i="5"/>
  <c r="L119" i="5" s="1"/>
  <c r="P127" i="5"/>
  <c r="K144" i="5"/>
  <c r="M167" i="5"/>
  <c r="M165" i="5" s="1"/>
  <c r="N279" i="5"/>
  <c r="N277" i="5" s="1"/>
  <c r="O282" i="5"/>
  <c r="M300" i="5"/>
  <c r="M298" i="5" s="1"/>
  <c r="P303" i="5"/>
  <c r="N317" i="5"/>
  <c r="N315" i="5" s="1"/>
  <c r="P323" i="5"/>
  <c r="J327" i="5"/>
  <c r="K327" i="5" s="1"/>
  <c r="K435" i="5"/>
  <c r="J721" i="5"/>
  <c r="O535" i="4"/>
  <c r="L657" i="4"/>
  <c r="O657" i="4" s="1"/>
  <c r="N68" i="5"/>
  <c r="N66" i="5" s="1"/>
  <c r="O74" i="5"/>
  <c r="P93" i="5"/>
  <c r="P96" i="5"/>
  <c r="M121" i="5"/>
  <c r="M119" i="5" s="1"/>
  <c r="K159" i="5"/>
  <c r="N167" i="5"/>
  <c r="N165" i="5" s="1"/>
  <c r="O170" i="5"/>
  <c r="L229" i="5"/>
  <c r="P282" i="5"/>
  <c r="P285" i="5"/>
  <c r="O320" i="5"/>
  <c r="K379" i="5"/>
  <c r="K628" i="5"/>
  <c r="P74" i="5"/>
  <c r="M135" i="5"/>
  <c r="L171" i="5"/>
  <c r="O171" i="5" s="1"/>
  <c r="L183" i="5"/>
  <c r="L181" i="5" s="1"/>
  <c r="L283" i="5"/>
  <c r="O283" i="5" s="1"/>
  <c r="P320" i="5"/>
  <c r="O266" i="5"/>
  <c r="L55" i="5"/>
  <c r="L53" i="5" s="1"/>
  <c r="I76" i="5"/>
  <c r="I64" i="5" s="1"/>
  <c r="K64" i="5" s="1"/>
  <c r="N90" i="5"/>
  <c r="N88" i="5" s="1"/>
  <c r="M171" i="5"/>
  <c r="P171" i="5" s="1"/>
  <c r="M183" i="5"/>
  <c r="M181" i="5" s="1"/>
  <c r="M187" i="5"/>
  <c r="P187" i="5" s="1"/>
  <c r="N69" i="5"/>
  <c r="N183" i="5"/>
  <c r="N181" i="5" s="1"/>
  <c r="J288" i="5"/>
  <c r="J275" i="5" s="1"/>
  <c r="K338" i="5"/>
  <c r="K438" i="5"/>
  <c r="K465" i="5"/>
  <c r="L167" i="5"/>
  <c r="L165" i="5" s="1"/>
  <c r="I275" i="4"/>
  <c r="K275" i="4" s="1"/>
  <c r="M23" i="5"/>
  <c r="M21" i="5" s="1"/>
  <c r="M122" i="5"/>
  <c r="P122" i="5" s="1"/>
  <c r="L151" i="5"/>
  <c r="O151" i="5" s="1"/>
  <c r="L317" i="5"/>
  <c r="L315" i="5" s="1"/>
  <c r="O315" i="5" s="1"/>
  <c r="P333" i="5"/>
  <c r="K381" i="5"/>
  <c r="N404" i="5"/>
  <c r="N402" i="5" s="1"/>
  <c r="O44" i="5"/>
  <c r="M90" i="3"/>
  <c r="O140" i="3"/>
  <c r="P269" i="3"/>
  <c r="I443" i="3"/>
  <c r="K443" i="3" s="1"/>
  <c r="L33" i="5"/>
  <c r="O140" i="5"/>
  <c r="M152" i="5"/>
  <c r="P152" i="5" s="1"/>
  <c r="I275" i="5"/>
  <c r="K275" i="5" s="1"/>
  <c r="M321" i="5"/>
  <c r="P321" i="5" s="1"/>
  <c r="M331" i="5"/>
  <c r="P331" i="5" s="1"/>
  <c r="M334" i="5"/>
  <c r="P334" i="5" s="1"/>
  <c r="K372" i="5"/>
  <c r="P397" i="5"/>
  <c r="I433" i="5"/>
  <c r="I417" i="5" s="1"/>
  <c r="L447" i="5"/>
  <c r="O447" i="5" s="1"/>
  <c r="K647" i="5"/>
  <c r="J722" i="5"/>
  <c r="L183" i="4"/>
  <c r="L181" i="4" s="1"/>
  <c r="O168" i="5"/>
  <c r="I197" i="5"/>
  <c r="K197" i="5" s="1"/>
  <c r="K355" i="5"/>
  <c r="K369" i="5"/>
  <c r="L395" i="5"/>
  <c r="O395" i="5" s="1"/>
  <c r="L422" i="5"/>
  <c r="O422" i="5" s="1"/>
  <c r="L546" i="5"/>
  <c r="K651" i="5"/>
  <c r="I654" i="3"/>
  <c r="K654" i="3" s="1"/>
  <c r="J721" i="3"/>
  <c r="P74" i="4"/>
  <c r="L229" i="4"/>
  <c r="M549" i="4"/>
  <c r="M546" i="4" s="1"/>
  <c r="P546" i="4" s="1"/>
  <c r="O557" i="4"/>
  <c r="P58" i="5"/>
  <c r="O127" i="5"/>
  <c r="O186" i="5"/>
  <c r="I276" i="5"/>
  <c r="K276" i="5" s="1"/>
  <c r="O303" i="5"/>
  <c r="L404" i="5"/>
  <c r="L402" i="5" s="1"/>
  <c r="O402" i="5" s="1"/>
  <c r="K673" i="5"/>
  <c r="P71" i="4"/>
  <c r="M280" i="4"/>
  <c r="P280" i="4" s="1"/>
  <c r="L279" i="4"/>
  <c r="O279" i="4" s="1"/>
  <c r="K365" i="4"/>
  <c r="I628" i="4"/>
  <c r="K628" i="4" s="1"/>
  <c r="I86" i="5"/>
  <c r="K86" i="5" s="1"/>
  <c r="M90" i="5"/>
  <c r="P91" i="5"/>
  <c r="L122" i="5"/>
  <c r="O122" i="5" s="1"/>
  <c r="N125" i="5"/>
  <c r="P125" i="5" s="1"/>
  <c r="M134" i="5"/>
  <c r="M132" i="5" s="1"/>
  <c r="P170" i="5"/>
  <c r="N184" i="5"/>
  <c r="P184" i="5" s="1"/>
  <c r="L187" i="5"/>
  <c r="O187" i="5" s="1"/>
  <c r="L230" i="5"/>
  <c r="P301" i="5"/>
  <c r="P353" i="5"/>
  <c r="M404" i="5"/>
  <c r="P404" i="5" s="1"/>
  <c r="K560" i="5"/>
  <c r="K649" i="5"/>
  <c r="K821" i="5"/>
  <c r="K824" i="5"/>
  <c r="K827" i="5"/>
  <c r="L187" i="4"/>
  <c r="O187" i="4" s="1"/>
  <c r="O138" i="5"/>
  <c r="K374" i="5"/>
  <c r="P266" i="4"/>
  <c r="I87" i="5"/>
  <c r="K87" i="5" s="1"/>
  <c r="K159" i="4"/>
  <c r="L267" i="4"/>
  <c r="O267" i="4" s="1"/>
  <c r="M43" i="5"/>
  <c r="M41" i="5" s="1"/>
  <c r="O46" i="5"/>
  <c r="K176" i="5"/>
  <c r="L198" i="5"/>
  <c r="O198" i="5" s="1"/>
  <c r="P348" i="5"/>
  <c r="J364" i="5"/>
  <c r="K593" i="5"/>
  <c r="P9" i="5"/>
  <c r="O29" i="5"/>
  <c r="J434" i="1"/>
  <c r="J418" i="1" s="1"/>
  <c r="O15" i="5"/>
  <c r="P49" i="5"/>
  <c r="M47" i="5"/>
  <c r="P47" i="5" s="1"/>
  <c r="O61" i="5"/>
  <c r="M68" i="5"/>
  <c r="P68" i="5" s="1"/>
  <c r="P71" i="5"/>
  <c r="M69" i="5"/>
  <c r="P69" i="5" s="1"/>
  <c r="N151" i="5"/>
  <c r="N149" i="5" s="1"/>
  <c r="N152" i="5"/>
  <c r="K174" i="5"/>
  <c r="I164" i="5"/>
  <c r="K164" i="5" s="1"/>
  <c r="L43" i="5"/>
  <c r="P67" i="5"/>
  <c r="L68" i="5"/>
  <c r="O68" i="5" s="1"/>
  <c r="O71" i="5"/>
  <c r="P89" i="5"/>
  <c r="N68" i="4"/>
  <c r="N66" i="4" s="1"/>
  <c r="I86" i="4"/>
  <c r="K86" i="4" s="1"/>
  <c r="L167" i="4"/>
  <c r="L165" i="4" s="1"/>
  <c r="O306" i="4"/>
  <c r="K359" i="4"/>
  <c r="K381" i="4"/>
  <c r="P15" i="5"/>
  <c r="P61" i="5"/>
  <c r="N121" i="5"/>
  <c r="N122" i="5"/>
  <c r="O124" i="4"/>
  <c r="O173" i="4"/>
  <c r="L321" i="4"/>
  <c r="O321" i="4" s="1"/>
  <c r="P19" i="5"/>
  <c r="L26" i="5"/>
  <c r="O32" i="5"/>
  <c r="I77" i="5"/>
  <c r="K79" i="5"/>
  <c r="O503" i="5"/>
  <c r="L502" i="5"/>
  <c r="O502" i="5" s="1"/>
  <c r="I543" i="5"/>
  <c r="K543" i="5" s="1"/>
  <c r="K559" i="5"/>
  <c r="N167" i="4"/>
  <c r="N165" i="4" s="1"/>
  <c r="M183" i="4"/>
  <c r="M181" i="4" s="1"/>
  <c r="M187" i="4"/>
  <c r="P187" i="4" s="1"/>
  <c r="L263" i="4"/>
  <c r="L261" i="4" s="1"/>
  <c r="J288" i="4"/>
  <c r="J275" i="4" s="1"/>
  <c r="M317" i="4"/>
  <c r="M315" i="4" s="1"/>
  <c r="P315" i="4" s="1"/>
  <c r="M321" i="4"/>
  <c r="P321" i="4" s="1"/>
  <c r="N404" i="4"/>
  <c r="N402" i="4" s="1"/>
  <c r="M26" i="5"/>
  <c r="P32" i="5"/>
  <c r="M29" i="5"/>
  <c r="L47" i="5"/>
  <c r="O47" i="5" s="1"/>
  <c r="M55" i="5"/>
  <c r="L69" i="5"/>
  <c r="O69" i="5" s="1"/>
  <c r="P140" i="5"/>
  <c r="M138" i="5"/>
  <c r="P138" i="5" s="1"/>
  <c r="L238" i="5"/>
  <c r="O262" i="5"/>
  <c r="N756" i="5"/>
  <c r="N757" i="5"/>
  <c r="L138" i="4"/>
  <c r="O138" i="4" s="1"/>
  <c r="L198" i="4"/>
  <c r="O198" i="4" s="1"/>
  <c r="N279" i="4"/>
  <c r="N277" i="4" s="1"/>
  <c r="L318" i="4"/>
  <c r="O318" i="4" s="1"/>
  <c r="L639" i="4"/>
  <c r="O639" i="4" s="1"/>
  <c r="J722" i="4"/>
  <c r="L12" i="5"/>
  <c r="N26" i="5"/>
  <c r="O35" i="5"/>
  <c r="N55" i="5"/>
  <c r="N53" i="5" s="1"/>
  <c r="O59" i="5"/>
  <c r="M546" i="5"/>
  <c r="P546" i="5" s="1"/>
  <c r="P549" i="5"/>
  <c r="M547" i="5"/>
  <c r="P547" i="5" s="1"/>
  <c r="L90" i="5"/>
  <c r="O93" i="5"/>
  <c r="L91" i="5"/>
  <c r="O91" i="5" s="1"/>
  <c r="K309" i="5"/>
  <c r="I297" i="5"/>
  <c r="K297" i="5" s="1"/>
  <c r="I443" i="5"/>
  <c r="K443" i="5" s="1"/>
  <c r="K462" i="5"/>
  <c r="K379" i="4"/>
  <c r="I433" i="4"/>
  <c r="I417" i="4" s="1"/>
  <c r="P12" i="5"/>
  <c r="P35" i="5"/>
  <c r="M34" i="5"/>
  <c r="P34" i="5" s="1"/>
  <c r="M59" i="5"/>
  <c r="P59" i="5" s="1"/>
  <c r="I208" i="3"/>
  <c r="K208" i="3" s="1"/>
  <c r="K369" i="4"/>
  <c r="K827" i="4"/>
  <c r="L23" i="5"/>
  <c r="N34" i="5"/>
  <c r="N29" i="5"/>
  <c r="N23" i="5"/>
  <c r="N43" i="5"/>
  <c r="O124" i="5"/>
  <c r="N134" i="5"/>
  <c r="N132" i="5" s="1"/>
  <c r="O154" i="5"/>
  <c r="L228" i="5"/>
  <c r="K237" i="5"/>
  <c r="L231" i="5"/>
  <c r="N264" i="5"/>
  <c r="P266" i="5"/>
  <c r="O269" i="5"/>
  <c r="L279" i="5"/>
  <c r="O279" i="5" s="1"/>
  <c r="M304" i="5"/>
  <c r="P304" i="5" s="1"/>
  <c r="L347" i="5"/>
  <c r="L345" i="5" s="1"/>
  <c r="O350" i="5"/>
  <c r="L348" i="5"/>
  <c r="O348" i="5" s="1"/>
  <c r="K365" i="5"/>
  <c r="L408" i="5"/>
  <c r="O408" i="5" s="1"/>
  <c r="P420" i="5"/>
  <c r="L421" i="5"/>
  <c r="O424" i="5"/>
  <c r="N447" i="5"/>
  <c r="O787" i="5"/>
  <c r="P124" i="5"/>
  <c r="I131" i="5"/>
  <c r="P154" i="5"/>
  <c r="N228" i="5"/>
  <c r="M279" i="5"/>
  <c r="P279" i="5" s="1"/>
  <c r="O323" i="5"/>
  <c r="L321" i="5"/>
  <c r="O321" i="5" s="1"/>
  <c r="N347" i="5"/>
  <c r="M408" i="5"/>
  <c r="P408" i="5" s="1"/>
  <c r="M421" i="5"/>
  <c r="M419" i="5" s="1"/>
  <c r="P424" i="5"/>
  <c r="L655" i="5"/>
  <c r="O655" i="5" s="1"/>
  <c r="O657" i="5"/>
  <c r="P787" i="5"/>
  <c r="M786" i="5"/>
  <c r="P786" i="5" s="1"/>
  <c r="I112" i="5"/>
  <c r="K112" i="5" s="1"/>
  <c r="I190" i="5"/>
  <c r="K190" i="5" s="1"/>
  <c r="O329" i="5"/>
  <c r="N421" i="5"/>
  <c r="N419" i="5" s="1"/>
  <c r="N422" i="5"/>
  <c r="P422" i="5" s="1"/>
  <c r="N444" i="5"/>
  <c r="P468" i="5"/>
  <c r="L469" i="5"/>
  <c r="O472" i="5"/>
  <c r="L770" i="5"/>
  <c r="O770" i="5" s="1"/>
  <c r="O772" i="5"/>
  <c r="N786" i="5"/>
  <c r="L788" i="5"/>
  <c r="O788" i="5" s="1"/>
  <c r="O791" i="5"/>
  <c r="L789" i="5"/>
  <c r="O789" i="5" s="1"/>
  <c r="I208" i="5"/>
  <c r="K208" i="5" s="1"/>
  <c r="L300" i="5"/>
  <c r="P329" i="5"/>
  <c r="O456" i="5"/>
  <c r="L454" i="5"/>
  <c r="O454" i="5" s="1"/>
  <c r="L446" i="5"/>
  <c r="M469" i="5"/>
  <c r="M467" i="5" s="1"/>
  <c r="P472" i="5"/>
  <c r="N56" i="5"/>
  <c r="P56" i="5" s="1"/>
  <c r="O58" i="5"/>
  <c r="P390" i="5"/>
  <c r="L391" i="5"/>
  <c r="O394" i="5"/>
  <c r="N469" i="5"/>
  <c r="N467" i="5" s="1"/>
  <c r="N470" i="5"/>
  <c r="P470" i="5" s="1"/>
  <c r="J537" i="5"/>
  <c r="J522" i="5" s="1"/>
  <c r="M805" i="5"/>
  <c r="P805" i="5" s="1"/>
  <c r="P807" i="5"/>
  <c r="N135" i="5"/>
  <c r="N300" i="5"/>
  <c r="N298" i="5" s="1"/>
  <c r="L330" i="5"/>
  <c r="O333" i="5"/>
  <c r="L331" i="5"/>
  <c r="O331" i="5" s="1"/>
  <c r="O346" i="5"/>
  <c r="N351" i="5"/>
  <c r="O351" i="5" s="1"/>
  <c r="M391" i="5"/>
  <c r="P391" i="5" s="1"/>
  <c r="P394" i="5"/>
  <c r="O524" i="5"/>
  <c r="K592" i="5"/>
  <c r="O630" i="5"/>
  <c r="O641" i="5"/>
  <c r="L639" i="5"/>
  <c r="O639" i="5" s="1"/>
  <c r="K675" i="5"/>
  <c r="K669" i="5"/>
  <c r="I654" i="5"/>
  <c r="K654" i="5" s="1"/>
  <c r="K674" i="5"/>
  <c r="L737" i="5"/>
  <c r="O737" i="5" s="1"/>
  <c r="O739" i="5"/>
  <c r="P755" i="5"/>
  <c r="M754" i="5"/>
  <c r="P754" i="5" s="1"/>
  <c r="L217" i="5"/>
  <c r="O217" i="5" s="1"/>
  <c r="P346" i="5"/>
  <c r="N391" i="5"/>
  <c r="N389" i="5" s="1"/>
  <c r="N392" i="5"/>
  <c r="M545" i="5"/>
  <c r="P555" i="5"/>
  <c r="K576" i="5"/>
  <c r="N634" i="5"/>
  <c r="N754" i="5"/>
  <c r="I442" i="5"/>
  <c r="K442" i="5" s="1"/>
  <c r="L526" i="5"/>
  <c r="O526" i="5" s="1"/>
  <c r="L632" i="5"/>
  <c r="M634" i="5"/>
  <c r="L687" i="5"/>
  <c r="O528" i="5"/>
  <c r="N789" i="5"/>
  <c r="M502" i="5"/>
  <c r="P502" i="5" s="1"/>
  <c r="M523" i="5"/>
  <c r="P523" i="5" s="1"/>
  <c r="O634" i="5"/>
  <c r="L805" i="5"/>
  <c r="O805" i="5" s="1"/>
  <c r="L533" i="5"/>
  <c r="O533" i="5" s="1"/>
  <c r="L429" i="5"/>
  <c r="O429" i="5" s="1"/>
  <c r="L547" i="5"/>
  <c r="O547" i="5" s="1"/>
  <c r="L555" i="5"/>
  <c r="O555" i="5" s="1"/>
  <c r="M655" i="5"/>
  <c r="P655" i="5" s="1"/>
  <c r="M737" i="5"/>
  <c r="P737" i="5" s="1"/>
  <c r="M770" i="5"/>
  <c r="P770" i="5" s="1"/>
  <c r="O264" i="4"/>
  <c r="O353" i="4"/>
  <c r="O71" i="3"/>
  <c r="N68" i="3"/>
  <c r="N66" i="3" s="1"/>
  <c r="K372" i="4"/>
  <c r="K378" i="4"/>
  <c r="K460" i="4"/>
  <c r="M43" i="4"/>
  <c r="M41" i="4" s="1"/>
  <c r="M72" i="3"/>
  <c r="P72" i="3" s="1"/>
  <c r="O49" i="4"/>
  <c r="P61" i="4"/>
  <c r="K99" i="4"/>
  <c r="O157" i="4"/>
  <c r="L230" i="4"/>
  <c r="M301" i="4"/>
  <c r="P301" i="4" s="1"/>
  <c r="L351" i="4"/>
  <c r="O351" i="4" s="1"/>
  <c r="L391" i="4"/>
  <c r="O391" i="4" s="1"/>
  <c r="O397" i="4"/>
  <c r="M404" i="4"/>
  <c r="P404" i="4" s="1"/>
  <c r="L687" i="4"/>
  <c r="O687" i="4" s="1"/>
  <c r="O690" i="4"/>
  <c r="I208" i="4"/>
  <c r="K208" i="4" s="1"/>
  <c r="M391" i="4"/>
  <c r="P391" i="4" s="1"/>
  <c r="L228" i="3"/>
  <c r="O46" i="4"/>
  <c r="L135" i="4"/>
  <c r="O135" i="4" s="1"/>
  <c r="L151" i="4"/>
  <c r="L149" i="4" s="1"/>
  <c r="O149" i="4" s="1"/>
  <c r="O154" i="4"/>
  <c r="L249" i="4"/>
  <c r="O249" i="4" s="1"/>
  <c r="L392" i="4"/>
  <c r="O392" i="4" s="1"/>
  <c r="K800" i="4"/>
  <c r="M47" i="4"/>
  <c r="P47" i="4" s="1"/>
  <c r="I77" i="4"/>
  <c r="I65" i="4" s="1"/>
  <c r="K65" i="4" s="1"/>
  <c r="L217" i="4"/>
  <c r="O217" i="4" s="1"/>
  <c r="M300" i="4"/>
  <c r="P300" i="4" s="1"/>
  <c r="L348" i="4"/>
  <c r="M392" i="4"/>
  <c r="P392" i="4" s="1"/>
  <c r="P394" i="4"/>
  <c r="M405" i="4"/>
  <c r="P405" i="4" s="1"/>
  <c r="L408" i="4"/>
  <c r="O408" i="4" s="1"/>
  <c r="L422" i="4"/>
  <c r="O422" i="4" s="1"/>
  <c r="I443" i="4"/>
  <c r="K443" i="4" s="1"/>
  <c r="L43" i="4"/>
  <c r="L41" i="4" s="1"/>
  <c r="L68" i="4"/>
  <c r="O68" i="4" s="1"/>
  <c r="K79" i="4"/>
  <c r="M134" i="4"/>
  <c r="M132" i="4" s="1"/>
  <c r="P132" i="4" s="1"/>
  <c r="O266" i="4"/>
  <c r="M279" i="4"/>
  <c r="P279" i="4" s="1"/>
  <c r="M283" i="4"/>
  <c r="P283" i="4" s="1"/>
  <c r="K824" i="4"/>
  <c r="L217" i="3"/>
  <c r="O217" i="3" s="1"/>
  <c r="L230" i="3"/>
  <c r="L249" i="3"/>
  <c r="O249" i="3" s="1"/>
  <c r="L404" i="3"/>
  <c r="O404" i="3" s="1"/>
  <c r="L788" i="3"/>
  <c r="O788" i="3" s="1"/>
  <c r="M44" i="4"/>
  <c r="M55" i="4"/>
  <c r="M53" i="4" s="1"/>
  <c r="P58" i="4"/>
  <c r="L90" i="4"/>
  <c r="L88" i="4" s="1"/>
  <c r="P93" i="4"/>
  <c r="O96" i="4"/>
  <c r="L125" i="4"/>
  <c r="O125" i="4" s="1"/>
  <c r="I216" i="4"/>
  <c r="K216" i="4" s="1"/>
  <c r="L231" i="4"/>
  <c r="N301" i="4"/>
  <c r="M304" i="4"/>
  <c r="P304" i="4" s="1"/>
  <c r="P397" i="4"/>
  <c r="M395" i="4"/>
  <c r="P395" i="4" s="1"/>
  <c r="K559" i="4"/>
  <c r="I543" i="4"/>
  <c r="K543" i="4" s="1"/>
  <c r="K675" i="4"/>
  <c r="K674" i="4"/>
  <c r="I654" i="4"/>
  <c r="K654" i="4" s="1"/>
  <c r="O58" i="4"/>
  <c r="K176" i="4"/>
  <c r="L631" i="4"/>
  <c r="L629" i="4" s="1"/>
  <c r="O629" i="4" s="1"/>
  <c r="L632" i="4"/>
  <c r="O632" i="4" s="1"/>
  <c r="O634" i="4"/>
  <c r="O96" i="3"/>
  <c r="P285" i="3"/>
  <c r="M68" i="4"/>
  <c r="M90" i="4"/>
  <c r="M88" i="4" s="1"/>
  <c r="M125" i="4"/>
  <c r="P125" i="4" s="1"/>
  <c r="P306" i="4"/>
  <c r="O449" i="4"/>
  <c r="L447" i="4"/>
  <c r="M449" i="4"/>
  <c r="P449" i="4" s="1"/>
  <c r="O528" i="4"/>
  <c r="L526" i="4"/>
  <c r="O526" i="4" s="1"/>
  <c r="K576" i="4"/>
  <c r="K669" i="4"/>
  <c r="L789" i="4"/>
  <c r="O789" i="4" s="1"/>
  <c r="O791" i="4"/>
  <c r="M171" i="3"/>
  <c r="P171" i="3" s="1"/>
  <c r="L47" i="3"/>
  <c r="O47" i="3" s="1"/>
  <c r="L134" i="4"/>
  <c r="L132" i="4" s="1"/>
  <c r="O132" i="4" s="1"/>
  <c r="P170" i="4"/>
  <c r="P186" i="4"/>
  <c r="L280" i="4"/>
  <c r="O280" i="4" s="1"/>
  <c r="K309" i="4"/>
  <c r="L525" i="4"/>
  <c r="O525" i="4" s="1"/>
  <c r="L788" i="4"/>
  <c r="O788" i="4" s="1"/>
  <c r="O61" i="3"/>
  <c r="P336" i="3"/>
  <c r="O56" i="4"/>
  <c r="L121" i="4"/>
  <c r="I143" i="4"/>
  <c r="K143" i="4" s="1"/>
  <c r="O170" i="4"/>
  <c r="O186" i="4"/>
  <c r="L317" i="4"/>
  <c r="L315" i="4" s="1"/>
  <c r="O315" i="4" s="1"/>
  <c r="L446" i="4"/>
  <c r="O446" i="4" s="1"/>
  <c r="N55" i="4"/>
  <c r="J465" i="1"/>
  <c r="K465" i="1" s="1"/>
  <c r="P56" i="4"/>
  <c r="O71" i="4"/>
  <c r="N134" i="4"/>
  <c r="N132" i="4" s="1"/>
  <c r="P137" i="4"/>
  <c r="J143" i="4"/>
  <c r="J131" i="4" s="1"/>
  <c r="M155" i="4"/>
  <c r="P155" i="4" s="1"/>
  <c r="M167" i="4"/>
  <c r="M165" i="4" s="1"/>
  <c r="K174" i="4"/>
  <c r="L330" i="4"/>
  <c r="L328" i="4" s="1"/>
  <c r="L331" i="4"/>
  <c r="K672" i="4"/>
  <c r="O336" i="4"/>
  <c r="K362" i="4"/>
  <c r="M424" i="4"/>
  <c r="M421" i="4" s="1"/>
  <c r="K821" i="4"/>
  <c r="J327" i="4"/>
  <c r="K327" i="4" s="1"/>
  <c r="K340" i="4"/>
  <c r="K360" i="4"/>
  <c r="I364" i="4"/>
  <c r="K385" i="4"/>
  <c r="K822" i="4"/>
  <c r="J355" i="4"/>
  <c r="K355" i="4" s="1"/>
  <c r="N391" i="4"/>
  <c r="N389" i="4" s="1"/>
  <c r="L546" i="4"/>
  <c r="L544" i="4" s="1"/>
  <c r="L9" i="4"/>
  <c r="O61" i="4"/>
  <c r="L59" i="4"/>
  <c r="O59" i="4" s="1"/>
  <c r="O431" i="4"/>
  <c r="L429" i="4"/>
  <c r="O429" i="4" s="1"/>
  <c r="L421" i="4"/>
  <c r="O421" i="4" s="1"/>
  <c r="L36" i="4"/>
  <c r="O36" i="4" s="1"/>
  <c r="P755" i="4"/>
  <c r="M754" i="4"/>
  <c r="P754" i="4" s="1"/>
  <c r="K79" i="1"/>
  <c r="L43" i="3"/>
  <c r="L41" i="3" s="1"/>
  <c r="L330" i="3"/>
  <c r="L328" i="3" s="1"/>
  <c r="K569" i="3"/>
  <c r="P15" i="4"/>
  <c r="M151" i="4"/>
  <c r="P154" i="4"/>
  <c r="M171" i="4"/>
  <c r="P171" i="4" s="1"/>
  <c r="L300" i="4"/>
  <c r="O300" i="4" s="1"/>
  <c r="L301" i="4"/>
  <c r="O301" i="4" s="1"/>
  <c r="O303" i="4"/>
  <c r="L23" i="4"/>
  <c r="N347" i="4"/>
  <c r="N348" i="4"/>
  <c r="O472" i="4"/>
  <c r="M472" i="4"/>
  <c r="L470" i="4"/>
  <c r="O470" i="4" s="1"/>
  <c r="L33" i="4"/>
  <c r="L31" i="4" s="1"/>
  <c r="O31" i="4" s="1"/>
  <c r="L469" i="4"/>
  <c r="K325" i="4"/>
  <c r="I314" i="4"/>
  <c r="K314" i="4" s="1"/>
  <c r="I77" i="3"/>
  <c r="I65" i="3" s="1"/>
  <c r="K65" i="3" s="1"/>
  <c r="M263" i="3"/>
  <c r="M261" i="3" s="1"/>
  <c r="P19" i="4"/>
  <c r="N31" i="4"/>
  <c r="N30" i="4"/>
  <c r="N28" i="4" s="1"/>
  <c r="N43" i="4"/>
  <c r="N23" i="4"/>
  <c r="P46" i="4"/>
  <c r="P96" i="4"/>
  <c r="M26" i="4"/>
  <c r="P140" i="4"/>
  <c r="M138" i="4"/>
  <c r="P138" i="4" s="1"/>
  <c r="N151" i="4"/>
  <c r="N149" i="4" s="1"/>
  <c r="N152" i="4"/>
  <c r="L209" i="4"/>
  <c r="O209" i="4" s="1"/>
  <c r="N321" i="4"/>
  <c r="N317" i="4"/>
  <c r="N315" i="4" s="1"/>
  <c r="O12" i="4"/>
  <c r="I76" i="4"/>
  <c r="K78" i="4"/>
  <c r="N90" i="4"/>
  <c r="N121" i="4"/>
  <c r="N119" i="4" s="1"/>
  <c r="N122" i="4"/>
  <c r="I233" i="4"/>
  <c r="K233" i="4" s="1"/>
  <c r="I237" i="4"/>
  <c r="K244" i="4"/>
  <c r="L283" i="4"/>
  <c r="O283" i="4" s="1"/>
  <c r="O285" i="4"/>
  <c r="P336" i="4"/>
  <c r="M334" i="4"/>
  <c r="P334" i="4" s="1"/>
  <c r="P403" i="4"/>
  <c r="I248" i="2"/>
  <c r="K248" i="2" s="1"/>
  <c r="K355" i="3"/>
  <c r="K370" i="3"/>
  <c r="P12" i="4"/>
  <c r="M9" i="4"/>
  <c r="L26" i="4"/>
  <c r="L15" i="4"/>
  <c r="O35" i="4"/>
  <c r="N44" i="4"/>
  <c r="O44" i="4" s="1"/>
  <c r="L55" i="4"/>
  <c r="O67" i="4"/>
  <c r="N26" i="4"/>
  <c r="N183" i="4"/>
  <c r="L238" i="4"/>
  <c r="P333" i="4"/>
  <c r="M331" i="4"/>
  <c r="M330" i="4"/>
  <c r="M328" i="4" s="1"/>
  <c r="M121" i="4"/>
  <c r="P124" i="4"/>
  <c r="N55" i="3"/>
  <c r="N53" i="3" s="1"/>
  <c r="M134" i="3"/>
  <c r="M132" i="3" s="1"/>
  <c r="P140" i="3"/>
  <c r="K800" i="3"/>
  <c r="O390" i="4"/>
  <c r="L68" i="3"/>
  <c r="J143" i="3"/>
  <c r="J131" i="3" s="1"/>
  <c r="K340" i="3"/>
  <c r="M122" i="4"/>
  <c r="P122" i="4" s="1"/>
  <c r="P269" i="4"/>
  <c r="M263" i="4"/>
  <c r="M267" i="4"/>
  <c r="P267" i="4" s="1"/>
  <c r="P353" i="4"/>
  <c r="M351" i="4"/>
  <c r="P351" i="4" s="1"/>
  <c r="K465" i="4"/>
  <c r="O403" i="4"/>
  <c r="I87" i="3"/>
  <c r="K87" i="3" s="1"/>
  <c r="M187" i="3"/>
  <c r="P187" i="3" s="1"/>
  <c r="I190" i="4"/>
  <c r="K190" i="4" s="1"/>
  <c r="K193" i="4"/>
  <c r="N267" i="4"/>
  <c r="N263" i="4"/>
  <c r="N261" i="4" s="1"/>
  <c r="P350" i="4"/>
  <c r="M348" i="4"/>
  <c r="K271" i="4"/>
  <c r="I260" i="4"/>
  <c r="K260" i="4" s="1"/>
  <c r="N330" i="4"/>
  <c r="N328" i="4" s="1"/>
  <c r="N331" i="4"/>
  <c r="M523" i="4"/>
  <c r="P523" i="4" s="1"/>
  <c r="P525" i="4"/>
  <c r="M23" i="4"/>
  <c r="L29" i="4"/>
  <c r="L69" i="4"/>
  <c r="O69" i="4" s="1"/>
  <c r="J164" i="4"/>
  <c r="K164" i="4" s="1"/>
  <c r="O299" i="4"/>
  <c r="O420" i="4"/>
  <c r="N447" i="4"/>
  <c r="O479" i="4"/>
  <c r="N525" i="4"/>
  <c r="I592" i="4"/>
  <c r="K592" i="4" s="1"/>
  <c r="K593" i="4"/>
  <c r="M29" i="4"/>
  <c r="L168" i="4"/>
  <c r="L184" i="4"/>
  <c r="K338" i="4"/>
  <c r="M502" i="4"/>
  <c r="P502" i="4" s="1"/>
  <c r="P504" i="4"/>
  <c r="K537" i="4"/>
  <c r="I522" i="4"/>
  <c r="K522" i="4" s="1"/>
  <c r="L404" i="4"/>
  <c r="O404" i="4" s="1"/>
  <c r="L405" i="4"/>
  <c r="O405" i="4" s="1"/>
  <c r="K538" i="4"/>
  <c r="J537" i="4"/>
  <c r="J522" i="4" s="1"/>
  <c r="K594" i="4"/>
  <c r="N756" i="4"/>
  <c r="N754" i="4" s="1"/>
  <c r="N757" i="4"/>
  <c r="O787" i="4"/>
  <c r="N91" i="4"/>
  <c r="O93" i="4"/>
  <c r="I112" i="4"/>
  <c r="K112" i="4" s="1"/>
  <c r="N168" i="4"/>
  <c r="P168" i="4" s="1"/>
  <c r="N184" i="4"/>
  <c r="P184" i="4" s="1"/>
  <c r="P320" i="4"/>
  <c r="M318" i="4"/>
  <c r="P318" i="4" s="1"/>
  <c r="N546" i="4"/>
  <c r="N544" i="4" s="1"/>
  <c r="N547" i="4"/>
  <c r="K255" i="4"/>
  <c r="K437" i="4"/>
  <c r="J433" i="4"/>
  <c r="J417" i="4" s="1"/>
  <c r="P468" i="4"/>
  <c r="N523" i="4"/>
  <c r="O547" i="4"/>
  <c r="K577" i="4"/>
  <c r="O333" i="4"/>
  <c r="O350" i="4"/>
  <c r="N469" i="4"/>
  <c r="N467" i="4" s="1"/>
  <c r="O549" i="4"/>
  <c r="M629" i="4"/>
  <c r="P629" i="4" s="1"/>
  <c r="N632" i="4"/>
  <c r="K673" i="4"/>
  <c r="P788" i="4"/>
  <c r="N807" i="4"/>
  <c r="N805" i="4" s="1"/>
  <c r="J364" i="4"/>
  <c r="M685" i="4"/>
  <c r="P685" i="4" s="1"/>
  <c r="N688" i="4"/>
  <c r="L754" i="4"/>
  <c r="O754" i="4" s="1"/>
  <c r="O807" i="4"/>
  <c r="L502" i="4"/>
  <c r="O502" i="4" s="1"/>
  <c r="I434" i="4"/>
  <c r="L454" i="4"/>
  <c r="O454" i="4" s="1"/>
  <c r="L737" i="4"/>
  <c r="O737" i="4" s="1"/>
  <c r="L770" i="4"/>
  <c r="O770" i="4" s="1"/>
  <c r="M805" i="4"/>
  <c r="P805" i="4" s="1"/>
  <c r="P91" i="3"/>
  <c r="P69" i="3"/>
  <c r="I592" i="2"/>
  <c r="K592" i="2" s="1"/>
  <c r="K100" i="3"/>
  <c r="I112" i="3"/>
  <c r="K112" i="3" s="1"/>
  <c r="K144" i="3"/>
  <c r="M167" i="3"/>
  <c r="P167" i="3" s="1"/>
  <c r="O269" i="3"/>
  <c r="K359" i="3"/>
  <c r="L446" i="3"/>
  <c r="O446" i="3" s="1"/>
  <c r="K465" i="3"/>
  <c r="L687" i="3"/>
  <c r="O687" i="3" s="1"/>
  <c r="O690" i="3"/>
  <c r="K823" i="3"/>
  <c r="O184" i="3"/>
  <c r="O791" i="3"/>
  <c r="N279" i="2"/>
  <c r="N277" i="2" s="1"/>
  <c r="L347" i="2"/>
  <c r="L345" i="2" s="1"/>
  <c r="K647" i="2"/>
  <c r="O127" i="3"/>
  <c r="P61" i="3"/>
  <c r="N90" i="3"/>
  <c r="N88" i="3" s="1"/>
  <c r="I276" i="3"/>
  <c r="K276" i="3" s="1"/>
  <c r="K372" i="3"/>
  <c r="K651" i="3"/>
  <c r="K824" i="3"/>
  <c r="P74" i="2"/>
  <c r="L121" i="3"/>
  <c r="O121" i="3" s="1"/>
  <c r="L631" i="3"/>
  <c r="O631" i="3" s="1"/>
  <c r="I87" i="2"/>
  <c r="K87" i="2" s="1"/>
  <c r="K98" i="3"/>
  <c r="L134" i="3"/>
  <c r="L132" i="3" s="1"/>
  <c r="L279" i="3"/>
  <c r="L277" i="3" s="1"/>
  <c r="K379" i="3"/>
  <c r="K385" i="3"/>
  <c r="K669" i="3"/>
  <c r="K821" i="3"/>
  <c r="N263" i="3"/>
  <c r="N261" i="3" s="1"/>
  <c r="O634" i="3"/>
  <c r="K483" i="1"/>
  <c r="L36" i="3"/>
  <c r="O36" i="3" s="1"/>
  <c r="O58" i="3"/>
  <c r="O285" i="3"/>
  <c r="M321" i="3"/>
  <c r="P321" i="3" s="1"/>
  <c r="P184" i="2"/>
  <c r="J721" i="2"/>
  <c r="M317" i="3"/>
  <c r="M315" i="3" s="1"/>
  <c r="K362" i="3"/>
  <c r="K822" i="3"/>
  <c r="M121" i="3"/>
  <c r="P121" i="3" s="1"/>
  <c r="K193" i="3"/>
  <c r="L198" i="3"/>
  <c r="O198" i="3" s="1"/>
  <c r="N279" i="3"/>
  <c r="K325" i="3"/>
  <c r="K360" i="3"/>
  <c r="K378" i="3"/>
  <c r="K435" i="3"/>
  <c r="M472" i="3"/>
  <c r="M469" i="3" s="1"/>
  <c r="M467" i="3" s="1"/>
  <c r="P467" i="3" s="1"/>
  <c r="L525" i="3"/>
  <c r="O525" i="3" s="1"/>
  <c r="M528" i="3"/>
  <c r="M525" i="3" s="1"/>
  <c r="M523" i="3" s="1"/>
  <c r="P523" i="3" s="1"/>
  <c r="K828" i="3"/>
  <c r="O321" i="2"/>
  <c r="I248" i="3"/>
  <c r="K248" i="3" s="1"/>
  <c r="L167" i="2"/>
  <c r="O167" i="2" s="1"/>
  <c r="L687" i="2"/>
  <c r="O687" i="2" s="1"/>
  <c r="L33" i="3"/>
  <c r="M43" i="3"/>
  <c r="M41" i="3" s="1"/>
  <c r="P49" i="3"/>
  <c r="K115" i="3"/>
  <c r="P124" i="3"/>
  <c r="K271" i="3"/>
  <c r="P333" i="3"/>
  <c r="M347" i="3"/>
  <c r="M345" i="3" s="1"/>
  <c r="M449" i="3"/>
  <c r="M446" i="3" s="1"/>
  <c r="O528" i="3"/>
  <c r="O535" i="3"/>
  <c r="O641" i="3"/>
  <c r="J722" i="3"/>
  <c r="O173" i="2"/>
  <c r="I76" i="3"/>
  <c r="I64" i="3" s="1"/>
  <c r="K64" i="3" s="1"/>
  <c r="P157" i="3"/>
  <c r="O280" i="3"/>
  <c r="P306" i="3"/>
  <c r="M330" i="3"/>
  <c r="M328" i="3" s="1"/>
  <c r="P397" i="3"/>
  <c r="M404" i="3"/>
  <c r="P404" i="3" s="1"/>
  <c r="P410" i="3"/>
  <c r="L546" i="3"/>
  <c r="O546" i="3" s="1"/>
  <c r="K672" i="3"/>
  <c r="J701" i="1"/>
  <c r="K701" i="1" s="1"/>
  <c r="I174" i="2"/>
  <c r="I164" i="2" s="1"/>
  <c r="K164" i="2" s="1"/>
  <c r="K374" i="2"/>
  <c r="L404" i="2"/>
  <c r="L402" i="2" s="1"/>
  <c r="O91" i="3"/>
  <c r="M300" i="3"/>
  <c r="M298" i="3" s="1"/>
  <c r="P394" i="3"/>
  <c r="O449" i="3"/>
  <c r="O660" i="3"/>
  <c r="K674" i="3"/>
  <c r="O170" i="2"/>
  <c r="O303" i="2"/>
  <c r="K359" i="2"/>
  <c r="K381" i="2"/>
  <c r="P93" i="3"/>
  <c r="P138" i="3"/>
  <c r="K145" i="3"/>
  <c r="M151" i="3"/>
  <c r="M149" i="3" s="1"/>
  <c r="K159" i="3"/>
  <c r="M168" i="3"/>
  <c r="P168" i="3" s="1"/>
  <c r="M183" i="3"/>
  <c r="M181" i="3" s="1"/>
  <c r="P186" i="3"/>
  <c r="K190" i="3"/>
  <c r="L229" i="3"/>
  <c r="K309" i="3"/>
  <c r="M391" i="3"/>
  <c r="P391" i="3" s="1"/>
  <c r="L447" i="3"/>
  <c r="O447" i="3" s="1"/>
  <c r="N404" i="2"/>
  <c r="N402" i="2" s="1"/>
  <c r="M23" i="3"/>
  <c r="M21" i="3" s="1"/>
  <c r="L69" i="3"/>
  <c r="O69" i="3" s="1"/>
  <c r="L209" i="3"/>
  <c r="O209" i="3" s="1"/>
  <c r="I233" i="3"/>
  <c r="K233" i="3" s="1"/>
  <c r="O323" i="3"/>
  <c r="M348" i="3"/>
  <c r="J433" i="3"/>
  <c r="J417" i="3" s="1"/>
  <c r="K460" i="3"/>
  <c r="K675" i="3"/>
  <c r="K827" i="3"/>
  <c r="M151" i="2"/>
  <c r="M149" i="2" s="1"/>
  <c r="M283" i="2"/>
  <c r="P283" i="2" s="1"/>
  <c r="K340" i="2"/>
  <c r="O351" i="2"/>
  <c r="K378" i="2"/>
  <c r="L55" i="3"/>
  <c r="L53" i="3" s="1"/>
  <c r="P71" i="3"/>
  <c r="O93" i="3"/>
  <c r="L138" i="3"/>
  <c r="O138" i="3" s="1"/>
  <c r="L231" i="3"/>
  <c r="M405" i="3"/>
  <c r="P405" i="3" s="1"/>
  <c r="P15" i="3"/>
  <c r="P154" i="3"/>
  <c r="N152" i="3"/>
  <c r="O152" i="3" s="1"/>
  <c r="N151" i="3"/>
  <c r="O470" i="3"/>
  <c r="N231" i="1"/>
  <c r="O71" i="2"/>
  <c r="O96" i="2"/>
  <c r="N183" i="2"/>
  <c r="N181" i="2" s="1"/>
  <c r="L334" i="2"/>
  <c r="O334" i="2" s="1"/>
  <c r="K651" i="2"/>
  <c r="N30" i="3"/>
  <c r="N28" i="3" s="1"/>
  <c r="O56" i="3"/>
  <c r="O120" i="3"/>
  <c r="N167" i="3"/>
  <c r="N165" i="3" s="1"/>
  <c r="N183" i="3"/>
  <c r="N90" i="2"/>
  <c r="N88" i="2" s="1"/>
  <c r="L168" i="2"/>
  <c r="O168" i="2" s="1"/>
  <c r="I314" i="2"/>
  <c r="K314" i="2" s="1"/>
  <c r="N134" i="3"/>
  <c r="P137" i="3"/>
  <c r="N135" i="3"/>
  <c r="P135" i="3" s="1"/>
  <c r="O445" i="3"/>
  <c r="L90" i="2"/>
  <c r="L88" i="2" s="1"/>
  <c r="O157" i="2"/>
  <c r="P29" i="3"/>
  <c r="I417" i="3"/>
  <c r="I131" i="3"/>
  <c r="L231" i="2"/>
  <c r="M279" i="2"/>
  <c r="P306" i="2"/>
  <c r="I443" i="2"/>
  <c r="K443" i="2" s="1"/>
  <c r="K649" i="2"/>
  <c r="P299" i="3"/>
  <c r="N404" i="3"/>
  <c r="N402" i="3" s="1"/>
  <c r="N405" i="3"/>
  <c r="K362" i="1"/>
  <c r="L155" i="3"/>
  <c r="O155" i="3" s="1"/>
  <c r="O157" i="3"/>
  <c r="P316" i="3"/>
  <c r="I143" i="2"/>
  <c r="I131" i="2" s="1"/>
  <c r="K131" i="2" s="1"/>
  <c r="O12" i="3"/>
  <c r="P150" i="3"/>
  <c r="P266" i="3"/>
  <c r="N264" i="3"/>
  <c r="P264" i="3" s="1"/>
  <c r="O353" i="3"/>
  <c r="L351" i="3"/>
  <c r="L347" i="3"/>
  <c r="J236" i="1"/>
  <c r="K312" i="1"/>
  <c r="K827" i="1"/>
  <c r="N167" i="2"/>
  <c r="N165" i="2" s="1"/>
  <c r="L187" i="2"/>
  <c r="O187" i="2" s="1"/>
  <c r="L229" i="2"/>
  <c r="K370" i="2"/>
  <c r="N43" i="3"/>
  <c r="N23" i="3"/>
  <c r="P46" i="3"/>
  <c r="N44" i="3"/>
  <c r="P44" i="3" s="1"/>
  <c r="N26" i="3"/>
  <c r="N16" i="3" s="1"/>
  <c r="N72" i="3"/>
  <c r="P96" i="3"/>
  <c r="M94" i="3"/>
  <c r="P94" i="3" s="1"/>
  <c r="O306" i="3"/>
  <c r="L304" i="3"/>
  <c r="O304" i="3" s="1"/>
  <c r="L263" i="3"/>
  <c r="O266" i="3"/>
  <c r="L264" i="3"/>
  <c r="L405" i="3"/>
  <c r="O405" i="3" s="1"/>
  <c r="O407" i="3"/>
  <c r="N469" i="3"/>
  <c r="O472" i="3"/>
  <c r="N470" i="3"/>
  <c r="O503" i="3"/>
  <c r="L502" i="3"/>
  <c r="O502" i="3" s="1"/>
  <c r="O524" i="3"/>
  <c r="K594" i="3"/>
  <c r="N756" i="3"/>
  <c r="N754" i="3" s="1"/>
  <c r="N757" i="3"/>
  <c r="L15" i="3"/>
  <c r="L9" i="3" s="1"/>
  <c r="M19" i="3"/>
  <c r="N31" i="3"/>
  <c r="L44" i="3"/>
  <c r="M56" i="3"/>
  <c r="P56" i="3" s="1"/>
  <c r="M68" i="3"/>
  <c r="L72" i="3"/>
  <c r="O72" i="3" s="1"/>
  <c r="L90" i="3"/>
  <c r="N121" i="3"/>
  <c r="N119" i="3" s="1"/>
  <c r="M125" i="3"/>
  <c r="P125" i="3" s="1"/>
  <c r="L135" i="3"/>
  <c r="K146" i="3"/>
  <c r="O170" i="3"/>
  <c r="P184" i="3"/>
  <c r="O186" i="3"/>
  <c r="K260" i="3"/>
  <c r="O282" i="3"/>
  <c r="O336" i="3"/>
  <c r="L334" i="3"/>
  <c r="O334" i="3" s="1"/>
  <c r="P390" i="3"/>
  <c r="I543" i="3"/>
  <c r="M805" i="3"/>
  <c r="P805" i="3" s="1"/>
  <c r="P807" i="3"/>
  <c r="M12" i="3"/>
  <c r="N15" i="3"/>
  <c r="N9" i="3" s="1"/>
  <c r="L26" i="3"/>
  <c r="O46" i="3"/>
  <c r="P58" i="3"/>
  <c r="O137" i="3"/>
  <c r="O154" i="3"/>
  <c r="P166" i="3"/>
  <c r="O173" i="3"/>
  <c r="P182" i="3"/>
  <c r="O189" i="3"/>
  <c r="O278" i="3"/>
  <c r="L301" i="3"/>
  <c r="O303" i="3"/>
  <c r="L317" i="3"/>
  <c r="O320" i="3"/>
  <c r="L318" i="3"/>
  <c r="O394" i="3"/>
  <c r="L392" i="3"/>
  <c r="O392" i="3" s="1"/>
  <c r="L395" i="3"/>
  <c r="O395" i="3" s="1"/>
  <c r="O397" i="3"/>
  <c r="L737" i="3"/>
  <c r="O737" i="3" s="1"/>
  <c r="O739" i="3"/>
  <c r="K823" i="2"/>
  <c r="K827" i="2"/>
  <c r="L23" i="3"/>
  <c r="M26" i="3"/>
  <c r="M55" i="3"/>
  <c r="L59" i="3"/>
  <c r="K78" i="3"/>
  <c r="L122" i="3"/>
  <c r="O122" i="3" s="1"/>
  <c r="L167" i="3"/>
  <c r="L183" i="3"/>
  <c r="O333" i="3"/>
  <c r="N331" i="3"/>
  <c r="O331" i="3" s="1"/>
  <c r="P353" i="3"/>
  <c r="N351" i="3"/>
  <c r="P351" i="3" s="1"/>
  <c r="I364" i="3"/>
  <c r="K365" i="3"/>
  <c r="L391" i="3"/>
  <c r="P420" i="3"/>
  <c r="O468" i="3"/>
  <c r="K576" i="3"/>
  <c r="J559" i="3"/>
  <c r="J543" i="3" s="1"/>
  <c r="P755" i="3"/>
  <c r="M754" i="3"/>
  <c r="P754" i="3" s="1"/>
  <c r="O787" i="3"/>
  <c r="L29" i="3"/>
  <c r="J288" i="3"/>
  <c r="J275" i="3" s="1"/>
  <c r="I275" i="3"/>
  <c r="L300" i="3"/>
  <c r="N300" i="3"/>
  <c r="N301" i="3"/>
  <c r="P301" i="3" s="1"/>
  <c r="P320" i="3"/>
  <c r="N318" i="3"/>
  <c r="P318" i="3" s="1"/>
  <c r="N330" i="3"/>
  <c r="O350" i="3"/>
  <c r="N348" i="3"/>
  <c r="O348" i="3" s="1"/>
  <c r="J374" i="3"/>
  <c r="K381" i="3"/>
  <c r="O424" i="3"/>
  <c r="M424" i="3"/>
  <c r="L422" i="3"/>
  <c r="O422" i="3" s="1"/>
  <c r="O431" i="3"/>
  <c r="L429" i="3"/>
  <c r="O429" i="3" s="1"/>
  <c r="M502" i="3"/>
  <c r="P502" i="3" s="1"/>
  <c r="P504" i="3"/>
  <c r="N59" i="3"/>
  <c r="P59" i="3" s="1"/>
  <c r="O124" i="3"/>
  <c r="L151" i="3"/>
  <c r="L238" i="3"/>
  <c r="P262" i="3"/>
  <c r="P303" i="3"/>
  <c r="N317" i="3"/>
  <c r="K338" i="3"/>
  <c r="J327" i="3"/>
  <c r="K327" i="3" s="1"/>
  <c r="N347" i="3"/>
  <c r="N345" i="3" s="1"/>
  <c r="P350" i="3"/>
  <c r="N391" i="3"/>
  <c r="N389" i="3" s="1"/>
  <c r="N467" i="3"/>
  <c r="N414" i="3" s="1"/>
  <c r="O479" i="3"/>
  <c r="L477" i="3"/>
  <c r="O477" i="3" s="1"/>
  <c r="L469" i="3"/>
  <c r="O469" i="3" s="1"/>
  <c r="P545" i="3"/>
  <c r="M549" i="3"/>
  <c r="L547" i="3"/>
  <c r="O549" i="3"/>
  <c r="L770" i="3"/>
  <c r="O770" i="3" s="1"/>
  <c r="O772" i="3"/>
  <c r="I174" i="3"/>
  <c r="K176" i="3"/>
  <c r="M279" i="3"/>
  <c r="P282" i="3"/>
  <c r="M280" i="3"/>
  <c r="P280" i="3" s="1"/>
  <c r="K369" i="3"/>
  <c r="P403" i="3"/>
  <c r="O410" i="3"/>
  <c r="L408" i="3"/>
  <c r="O408" i="3" s="1"/>
  <c r="L421" i="3"/>
  <c r="N546" i="3"/>
  <c r="N544" i="3" s="1"/>
  <c r="N547" i="3"/>
  <c r="I237" i="3"/>
  <c r="J537" i="3"/>
  <c r="J522" i="3" s="1"/>
  <c r="K522" i="3" s="1"/>
  <c r="K593" i="3"/>
  <c r="M629" i="3"/>
  <c r="P629" i="3" s="1"/>
  <c r="N632" i="3"/>
  <c r="P788" i="3"/>
  <c r="N688" i="3"/>
  <c r="L555" i="3"/>
  <c r="O555" i="3" s="1"/>
  <c r="I434" i="3"/>
  <c r="L454" i="3"/>
  <c r="O454" i="3" s="1"/>
  <c r="N526" i="3"/>
  <c r="O526" i="3" s="1"/>
  <c r="N789" i="3"/>
  <c r="L805" i="3"/>
  <c r="O805" i="3" s="1"/>
  <c r="N23" i="2"/>
  <c r="N21" i="2" s="1"/>
  <c r="K671" i="1"/>
  <c r="K723" i="1"/>
  <c r="L36" i="2"/>
  <c r="L55" i="2"/>
  <c r="L53" i="2" s="1"/>
  <c r="P71" i="2"/>
  <c r="O93" i="2"/>
  <c r="I130" i="2"/>
  <c r="K130" i="2" s="1"/>
  <c r="L151" i="2"/>
  <c r="O151" i="2" s="1"/>
  <c r="I276" i="2"/>
  <c r="K276" i="2" s="1"/>
  <c r="N280" i="2"/>
  <c r="P280" i="2" s="1"/>
  <c r="K372" i="2"/>
  <c r="M392" i="2"/>
  <c r="P392" i="2" s="1"/>
  <c r="L405" i="2"/>
  <c r="O405" i="2" s="1"/>
  <c r="K824" i="2"/>
  <c r="M68" i="2"/>
  <c r="M66" i="2" s="1"/>
  <c r="I77" i="2"/>
  <c r="I65" i="2" s="1"/>
  <c r="K65" i="2" s="1"/>
  <c r="N91" i="2"/>
  <c r="P91" i="2" s="1"/>
  <c r="K111" i="2"/>
  <c r="M134" i="2"/>
  <c r="P134" i="2" s="1"/>
  <c r="N151" i="2"/>
  <c r="N149" i="2" s="1"/>
  <c r="O154" i="2"/>
  <c r="N168" i="2"/>
  <c r="K338" i="2"/>
  <c r="O535" i="2"/>
  <c r="L657" i="2"/>
  <c r="O657" i="2" s="1"/>
  <c r="N43" i="2"/>
  <c r="N41" i="2" s="1"/>
  <c r="L59" i="2"/>
  <c r="O59" i="2" s="1"/>
  <c r="N68" i="2"/>
  <c r="K98" i="2"/>
  <c r="P140" i="2"/>
  <c r="L263" i="2"/>
  <c r="L261" i="2" s="1"/>
  <c r="L317" i="2"/>
  <c r="L315" i="2" s="1"/>
  <c r="P321" i="2"/>
  <c r="K355" i="2"/>
  <c r="K369" i="2"/>
  <c r="P408" i="2"/>
  <c r="K822" i="2"/>
  <c r="K672" i="1"/>
  <c r="J722" i="1"/>
  <c r="K722" i="1" s="1"/>
  <c r="N69" i="2"/>
  <c r="O69" i="2" s="1"/>
  <c r="P137" i="2"/>
  <c r="L555" i="2"/>
  <c r="O555" i="2" s="1"/>
  <c r="N55" i="2"/>
  <c r="L68" i="2"/>
  <c r="L66" i="2" s="1"/>
  <c r="O285" i="2"/>
  <c r="O323" i="2"/>
  <c r="N330" i="2"/>
  <c r="N328" i="2" s="1"/>
  <c r="M347" i="2"/>
  <c r="M345" i="2" s="1"/>
  <c r="P397" i="2"/>
  <c r="K594" i="2"/>
  <c r="J722" i="2"/>
  <c r="K309" i="1"/>
  <c r="M135" i="2"/>
  <c r="P135" i="2" s="1"/>
  <c r="K360" i="2"/>
  <c r="I785" i="2"/>
  <c r="K785" i="2" s="1"/>
  <c r="K83" i="1"/>
  <c r="L125" i="2"/>
  <c r="O125" i="2" s="1"/>
  <c r="O127" i="2"/>
  <c r="L121" i="2"/>
  <c r="O121" i="2" s="1"/>
  <c r="I233" i="2"/>
  <c r="K233" i="2" s="1"/>
  <c r="K244" i="2"/>
  <c r="K106" i="1"/>
  <c r="P49" i="2"/>
  <c r="M47" i="2"/>
  <c r="P47" i="2" s="1"/>
  <c r="N228" i="1"/>
  <c r="K244" i="1"/>
  <c r="L33" i="1"/>
  <c r="L31" i="1" s="1"/>
  <c r="O49" i="2"/>
  <c r="L330" i="2"/>
  <c r="L328" i="2" s="1"/>
  <c r="L331" i="2"/>
  <c r="O331" i="2" s="1"/>
  <c r="O333" i="2"/>
  <c r="I442" i="2"/>
  <c r="K442" i="2" s="1"/>
  <c r="K460" i="2"/>
  <c r="K224" i="1"/>
  <c r="N317" i="1"/>
  <c r="N315" i="1" s="1"/>
  <c r="K378" i="1"/>
  <c r="N348" i="2"/>
  <c r="P348" i="2" s="1"/>
  <c r="N347" i="2"/>
  <c r="N345" i="2" s="1"/>
  <c r="L395" i="2"/>
  <c r="O395" i="2" s="1"/>
  <c r="O397" i="2"/>
  <c r="N301" i="2"/>
  <c r="N300" i="2"/>
  <c r="N298" i="2" s="1"/>
  <c r="M43" i="2"/>
  <c r="M41" i="2" s="1"/>
  <c r="L546" i="2"/>
  <c r="O546" i="2" s="1"/>
  <c r="O549" i="2"/>
  <c r="L547" i="2"/>
  <c r="O547" i="2" s="1"/>
  <c r="M549" i="2"/>
  <c r="P549" i="2" s="1"/>
  <c r="P331" i="2"/>
  <c r="O350" i="2"/>
  <c r="P410" i="2"/>
  <c r="K669" i="2"/>
  <c r="N26" i="2"/>
  <c r="N16" i="2" s="1"/>
  <c r="P61" i="2"/>
  <c r="N121" i="2"/>
  <c r="N119" i="2" s="1"/>
  <c r="J143" i="2"/>
  <c r="J131" i="2" s="1"/>
  <c r="I297" i="2"/>
  <c r="K297" i="2" s="1"/>
  <c r="L348" i="2"/>
  <c r="J364" i="2"/>
  <c r="L688" i="2"/>
  <c r="O688" i="2" s="1"/>
  <c r="M183" i="2"/>
  <c r="M181" i="2" s="1"/>
  <c r="P351" i="2"/>
  <c r="O124" i="2"/>
  <c r="J327" i="2"/>
  <c r="K327" i="2" s="1"/>
  <c r="O431" i="2"/>
  <c r="M472" i="2"/>
  <c r="M470" i="2" s="1"/>
  <c r="O641" i="2"/>
  <c r="L788" i="2"/>
  <c r="O788" i="2" s="1"/>
  <c r="P189" i="2"/>
  <c r="K193" i="2"/>
  <c r="L217" i="2"/>
  <c r="O217" i="2" s="1"/>
  <c r="K362" i="2"/>
  <c r="K379" i="2"/>
  <c r="O634" i="2"/>
  <c r="O660" i="2"/>
  <c r="K672" i="2"/>
  <c r="O791" i="2"/>
  <c r="I76" i="2"/>
  <c r="I64" i="2" s="1"/>
  <c r="K64" i="2" s="1"/>
  <c r="M90" i="2"/>
  <c r="M187" i="2"/>
  <c r="P187" i="2" s="1"/>
  <c r="L238" i="2"/>
  <c r="O238" i="2" s="1"/>
  <c r="O269" i="2"/>
  <c r="O353" i="2"/>
  <c r="L469" i="2"/>
  <c r="L467" i="2" s="1"/>
  <c r="O467" i="2" s="1"/>
  <c r="L477" i="2"/>
  <c r="O477" i="2" s="1"/>
  <c r="K628" i="2"/>
  <c r="K674" i="2"/>
  <c r="M69" i="2"/>
  <c r="L267" i="2"/>
  <c r="O267" i="2" s="1"/>
  <c r="J433" i="2"/>
  <c r="J417" i="2" s="1"/>
  <c r="K621" i="2"/>
  <c r="L632" i="2"/>
  <c r="O632" i="2" s="1"/>
  <c r="K821" i="2"/>
  <c r="K828" i="2"/>
  <c r="P15" i="2"/>
  <c r="M317" i="2"/>
  <c r="P320" i="2"/>
  <c r="M318" i="2"/>
  <c r="M23" i="2"/>
  <c r="M21" i="2" s="1"/>
  <c r="M55" i="2"/>
  <c r="P58" i="2"/>
  <c r="M56" i="2"/>
  <c r="P56" i="2" s="1"/>
  <c r="K80" i="2"/>
  <c r="J288" i="2"/>
  <c r="J275" i="2" s="1"/>
  <c r="I275" i="2"/>
  <c r="O738" i="2"/>
  <c r="L737" i="2"/>
  <c r="O737" i="2" s="1"/>
  <c r="K435" i="1"/>
  <c r="K670" i="1"/>
  <c r="K86" i="2"/>
  <c r="M125" i="2"/>
  <c r="P125" i="2" s="1"/>
  <c r="P133" i="2"/>
  <c r="P154" i="2"/>
  <c r="M152" i="2"/>
  <c r="P152" i="2" s="1"/>
  <c r="P173" i="2"/>
  <c r="M171" i="2"/>
  <c r="P171" i="2" s="1"/>
  <c r="L183" i="2"/>
  <c r="O186" i="2"/>
  <c r="L184" i="2"/>
  <c r="O184" i="2" s="1"/>
  <c r="L198" i="2"/>
  <c r="O198" i="2" s="1"/>
  <c r="L279" i="2"/>
  <c r="L280" i="2"/>
  <c r="O282" i="2"/>
  <c r="P390" i="2"/>
  <c r="N788" i="2"/>
  <c r="N789" i="2"/>
  <c r="N808" i="2"/>
  <c r="N807" i="2"/>
  <c r="N805" i="2" s="1"/>
  <c r="L421" i="2"/>
  <c r="O421" i="2" s="1"/>
  <c r="O424" i="2"/>
  <c r="M424" i="2"/>
  <c r="L422" i="2"/>
  <c r="O422" i="2" s="1"/>
  <c r="L33" i="2"/>
  <c r="J675" i="1"/>
  <c r="J669" i="1" s="1"/>
  <c r="J654" i="1" s="1"/>
  <c r="O140" i="1"/>
  <c r="K148" i="1"/>
  <c r="K214" i="1"/>
  <c r="N47" i="2"/>
  <c r="O58" i="2"/>
  <c r="O74" i="2"/>
  <c r="L72" i="2"/>
  <c r="O72" i="2" s="1"/>
  <c r="I112" i="2"/>
  <c r="K112" i="2" s="1"/>
  <c r="N125" i="2"/>
  <c r="M168" i="2"/>
  <c r="P168" i="2" s="1"/>
  <c r="L230" i="2"/>
  <c r="I434" i="2"/>
  <c r="K440" i="2"/>
  <c r="O468" i="2"/>
  <c r="O656" i="2"/>
  <c r="P266" i="2"/>
  <c r="M264" i="2"/>
  <c r="K193" i="1"/>
  <c r="J235" i="1"/>
  <c r="M167" i="2"/>
  <c r="M263" i="2"/>
  <c r="M261" i="2" s="1"/>
  <c r="O420" i="2"/>
  <c r="L134" i="1"/>
  <c r="L132" i="1" s="1"/>
  <c r="M151" i="1"/>
  <c r="M149" i="1" s="1"/>
  <c r="L167" i="1"/>
  <c r="L165" i="1" s="1"/>
  <c r="O25" i="2"/>
  <c r="L15" i="2"/>
  <c r="P29" i="2"/>
  <c r="L56" i="2"/>
  <c r="O56" i="2" s="1"/>
  <c r="O150" i="2"/>
  <c r="O299" i="2"/>
  <c r="P336" i="2"/>
  <c r="M334" i="2"/>
  <c r="P334" i="2" s="1"/>
  <c r="O306" i="2"/>
  <c r="L304" i="2"/>
  <c r="O304" i="2" s="1"/>
  <c r="L300" i="2"/>
  <c r="O300" i="2" s="1"/>
  <c r="K365" i="2"/>
  <c r="I364" i="2"/>
  <c r="K576" i="2"/>
  <c r="I559" i="2"/>
  <c r="J560" i="1"/>
  <c r="K560" i="1" s="1"/>
  <c r="L19" i="2"/>
  <c r="P22" i="2"/>
  <c r="M12" i="2"/>
  <c r="M19" i="2"/>
  <c r="P42" i="2"/>
  <c r="O54" i="2"/>
  <c r="M121" i="2"/>
  <c r="L134" i="2"/>
  <c r="O140" i="2"/>
  <c r="L138" i="2"/>
  <c r="O138" i="2" s="1"/>
  <c r="K237" i="2"/>
  <c r="K435" i="2"/>
  <c r="I433" i="2"/>
  <c r="P445" i="2"/>
  <c r="L446" i="2"/>
  <c r="L447" i="2"/>
  <c r="O447" i="2" s="1"/>
  <c r="O449" i="2"/>
  <c r="N504" i="2"/>
  <c r="N502" i="2" s="1"/>
  <c r="N505" i="2"/>
  <c r="J537" i="2"/>
  <c r="J522" i="2" s="1"/>
  <c r="K522" i="2" s="1"/>
  <c r="O120" i="2"/>
  <c r="N263" i="2"/>
  <c r="N264" i="2"/>
  <c r="O264" i="2" s="1"/>
  <c r="L90" i="1"/>
  <c r="L88" i="1" s="1"/>
  <c r="O333" i="1"/>
  <c r="K338" i="1"/>
  <c r="K359" i="1"/>
  <c r="O394" i="1"/>
  <c r="K538" i="1"/>
  <c r="L12" i="2"/>
  <c r="N15" i="2"/>
  <c r="N12" i="2"/>
  <c r="P93" i="2"/>
  <c r="P124" i="2"/>
  <c r="M122" i="2"/>
  <c r="P122" i="2" s="1"/>
  <c r="N134" i="2"/>
  <c r="N132" i="2" s="1"/>
  <c r="N135" i="2"/>
  <c r="M155" i="2"/>
  <c r="P155" i="2" s="1"/>
  <c r="K204" i="2"/>
  <c r="I197" i="2"/>
  <c r="K197" i="2" s="1"/>
  <c r="M330" i="2"/>
  <c r="M754" i="2"/>
  <c r="P754" i="2" s="1"/>
  <c r="P755" i="2"/>
  <c r="P806" i="2"/>
  <c r="M805" i="2"/>
  <c r="P805" i="2" s="1"/>
  <c r="K145" i="1"/>
  <c r="P46" i="2"/>
  <c r="N44" i="2"/>
  <c r="P44" i="2" s="1"/>
  <c r="K107" i="1"/>
  <c r="L43" i="2"/>
  <c r="L23" i="2"/>
  <c r="O46" i="2"/>
  <c r="L44" i="2"/>
  <c r="P96" i="2"/>
  <c r="M26" i="2"/>
  <c r="M94" i="2"/>
  <c r="P94" i="2" s="1"/>
  <c r="L135" i="2"/>
  <c r="O135" i="2" s="1"/>
  <c r="O266" i="2"/>
  <c r="M267" i="2"/>
  <c r="P267" i="2" s="1"/>
  <c r="P269" i="2"/>
  <c r="N469" i="2"/>
  <c r="O472" i="2"/>
  <c r="N470" i="2"/>
  <c r="N33" i="2"/>
  <c r="N30" i="2" s="1"/>
  <c r="N28" i="2" s="1"/>
  <c r="M632" i="2"/>
  <c r="P632" i="2" s="1"/>
  <c r="P634" i="2"/>
  <c r="M631" i="2"/>
  <c r="O787" i="2"/>
  <c r="N317" i="2"/>
  <c r="O320" i="2"/>
  <c r="N318" i="2"/>
  <c r="O318" i="2" s="1"/>
  <c r="O390" i="2"/>
  <c r="P420" i="2"/>
  <c r="O470" i="2"/>
  <c r="O806" i="2"/>
  <c r="L805" i="2"/>
  <c r="O805" i="2" s="1"/>
  <c r="L26" i="2"/>
  <c r="P186" i="2"/>
  <c r="L249" i="2"/>
  <c r="O249" i="2" s="1"/>
  <c r="L228" i="2"/>
  <c r="P282" i="2"/>
  <c r="P353" i="2"/>
  <c r="L391" i="2"/>
  <c r="L389" i="2" s="1"/>
  <c r="O394" i="2"/>
  <c r="L392" i="2"/>
  <c r="O392" i="2" s="1"/>
  <c r="O456" i="2"/>
  <c r="L454" i="2"/>
  <c r="O454" i="2" s="1"/>
  <c r="L525" i="2"/>
  <c r="M528" i="2"/>
  <c r="L526" i="2"/>
  <c r="O526" i="2" s="1"/>
  <c r="L209" i="2"/>
  <c r="O209" i="2" s="1"/>
  <c r="I216" i="2"/>
  <c r="K216" i="2" s="1"/>
  <c r="K224" i="2"/>
  <c r="K385" i="2"/>
  <c r="M391" i="2"/>
  <c r="M389" i="2" s="1"/>
  <c r="M404" i="2"/>
  <c r="M405" i="2"/>
  <c r="P405" i="2" s="1"/>
  <c r="N467" i="2"/>
  <c r="N414" i="2" s="1"/>
  <c r="O771" i="2"/>
  <c r="L770" i="2"/>
  <c r="O770" i="2" s="1"/>
  <c r="N786" i="2"/>
  <c r="M300" i="2"/>
  <c r="M301" i="2"/>
  <c r="P301" i="2" s="1"/>
  <c r="P395" i="2"/>
  <c r="O410" i="2"/>
  <c r="L408" i="2"/>
  <c r="O408" i="2" s="1"/>
  <c r="P555" i="2"/>
  <c r="M545" i="2"/>
  <c r="K560" i="2"/>
  <c r="P323" i="2"/>
  <c r="P333" i="2"/>
  <c r="P350" i="2"/>
  <c r="N391" i="2"/>
  <c r="N389" i="2" s="1"/>
  <c r="L631" i="2"/>
  <c r="K673" i="2"/>
  <c r="M786" i="2"/>
  <c r="P786" i="2" s="1"/>
  <c r="M33" i="1"/>
  <c r="M30" i="1" s="1"/>
  <c r="N230" i="1"/>
  <c r="K340" i="1"/>
  <c r="K370" i="1"/>
  <c r="I236" i="1"/>
  <c r="P74" i="1"/>
  <c r="M121" i="1"/>
  <c r="M119" i="1" s="1"/>
  <c r="K291" i="1"/>
  <c r="L231" i="1"/>
  <c r="K111" i="1"/>
  <c r="O124" i="1"/>
  <c r="L249" i="1"/>
  <c r="O249" i="1" s="1"/>
  <c r="L300" i="1"/>
  <c r="L298" i="1" s="1"/>
  <c r="O306" i="1"/>
  <c r="L525" i="1"/>
  <c r="L523" i="1" s="1"/>
  <c r="K541" i="1"/>
  <c r="L555" i="1"/>
  <c r="O555" i="1" s="1"/>
  <c r="K647" i="1"/>
  <c r="L657" i="1"/>
  <c r="L655" i="1" s="1"/>
  <c r="L55" i="1"/>
  <c r="L53" i="1" s="1"/>
  <c r="P301" i="1"/>
  <c r="O323" i="1"/>
  <c r="K360" i="1"/>
  <c r="K372" i="1"/>
  <c r="L454" i="1"/>
  <c r="O454" i="1" s="1"/>
  <c r="O266" i="1"/>
  <c r="J112" i="1"/>
  <c r="L421" i="1"/>
  <c r="L419" i="1" s="1"/>
  <c r="J569" i="1"/>
  <c r="K569" i="1" s="1"/>
  <c r="J604" i="1"/>
  <c r="K310" i="1"/>
  <c r="O46" i="1"/>
  <c r="K86" i="1"/>
  <c r="J100" i="1"/>
  <c r="K100" i="1" s="1"/>
  <c r="K116" i="1"/>
  <c r="M421" i="1"/>
  <c r="M419" i="1" s="1"/>
  <c r="N549" i="1"/>
  <c r="N546" i="1" s="1"/>
  <c r="N544" i="1" s="1"/>
  <c r="K822" i="1"/>
  <c r="K826" i="1"/>
  <c r="O61" i="1"/>
  <c r="L217" i="1"/>
  <c r="N279" i="1"/>
  <c r="N277" i="1" s="1"/>
  <c r="L56" i="1"/>
  <c r="L23" i="1"/>
  <c r="L21" i="1" s="1"/>
  <c r="O44" i="1"/>
  <c r="I112" i="1"/>
  <c r="M183" i="1"/>
  <c r="M181" i="1" s="1"/>
  <c r="J194" i="1"/>
  <c r="N217" i="1"/>
  <c r="K260" i="1"/>
  <c r="K290" i="1"/>
  <c r="J297" i="1"/>
  <c r="K297" i="1" s="1"/>
  <c r="K325" i="1"/>
  <c r="O350" i="1"/>
  <c r="P353" i="1"/>
  <c r="L446" i="1"/>
  <c r="L444" i="1" s="1"/>
  <c r="K485" i="1"/>
  <c r="K492" i="1"/>
  <c r="K542" i="1"/>
  <c r="K725" i="1"/>
  <c r="K821" i="1"/>
  <c r="K225" i="1"/>
  <c r="K355" i="1"/>
  <c r="K539" i="1"/>
  <c r="K651" i="1"/>
  <c r="N660" i="1"/>
  <c r="N657" i="1" s="1"/>
  <c r="N655" i="1" s="1"/>
  <c r="K700" i="1"/>
  <c r="L72" i="1"/>
  <c r="O72" i="1" s="1"/>
  <c r="I76" i="1"/>
  <c r="I64" i="1" s="1"/>
  <c r="J77" i="1"/>
  <c r="J65" i="1" s="1"/>
  <c r="L121" i="1"/>
  <c r="O170" i="1"/>
  <c r="O191" i="1"/>
  <c r="K215" i="1"/>
  <c r="L229" i="1"/>
  <c r="O282" i="1"/>
  <c r="M330" i="1"/>
  <c r="M328" i="1" s="1"/>
  <c r="J364" i="1"/>
  <c r="L391" i="1"/>
  <c r="L389" i="1" s="1"/>
  <c r="K460" i="1"/>
  <c r="L469" i="1"/>
  <c r="L467" i="1" s="1"/>
  <c r="K540" i="1"/>
  <c r="J596" i="1"/>
  <c r="L788" i="1"/>
  <c r="L786" i="1" s="1"/>
  <c r="O786" i="1" s="1"/>
  <c r="O58" i="1"/>
  <c r="K82" i="1"/>
  <c r="K102" i="1"/>
  <c r="N121" i="1"/>
  <c r="N119" i="1" s="1"/>
  <c r="L155" i="1"/>
  <c r="O155" i="1" s="1"/>
  <c r="P157" i="1"/>
  <c r="M167" i="1"/>
  <c r="M165" i="1" s="1"/>
  <c r="N238" i="1"/>
  <c r="N249" i="1"/>
  <c r="M279" i="1"/>
  <c r="M277" i="1" s="1"/>
  <c r="N330" i="1"/>
  <c r="N328" i="1" s="1"/>
  <c r="K379" i="1"/>
  <c r="K438" i="1"/>
  <c r="M470" i="1"/>
  <c r="M546" i="1"/>
  <c r="M544" i="1" s="1"/>
  <c r="L631" i="1"/>
  <c r="L629" i="1" s="1"/>
  <c r="K674" i="1"/>
  <c r="K823" i="1"/>
  <c r="L168" i="1"/>
  <c r="I216" i="1"/>
  <c r="K216" i="1" s="1"/>
  <c r="N264" i="1"/>
  <c r="P264" i="1" s="1"/>
  <c r="M300" i="1"/>
  <c r="M298" i="1" s="1"/>
  <c r="O397" i="1"/>
  <c r="J561" i="1"/>
  <c r="K561" i="1" s="1"/>
  <c r="I628" i="1"/>
  <c r="K628" i="1" s="1"/>
  <c r="J729" i="1"/>
  <c r="N68" i="1"/>
  <c r="N66" i="1" s="1"/>
  <c r="L36" i="1"/>
  <c r="O36" i="1" s="1"/>
  <c r="N90" i="1"/>
  <c r="N88" i="1" s="1"/>
  <c r="P127" i="1"/>
  <c r="P140" i="1"/>
  <c r="K146" i="1"/>
  <c r="M152" i="1"/>
  <c r="P320" i="1"/>
  <c r="K374" i="1"/>
  <c r="N424" i="1"/>
  <c r="O424" i="1" s="1"/>
  <c r="K439" i="1"/>
  <c r="K649" i="1"/>
  <c r="J721" i="1"/>
  <c r="K721" i="1" s="1"/>
  <c r="K824" i="1"/>
  <c r="K828" i="1"/>
  <c r="K130" i="1"/>
  <c r="I417" i="1"/>
  <c r="K417" i="1" s="1"/>
  <c r="K433" i="1"/>
  <c r="K99" i="1"/>
  <c r="J87" i="1"/>
  <c r="K87" i="1" s="1"/>
  <c r="K275" i="1"/>
  <c r="K131" i="1"/>
  <c r="N229" i="1"/>
  <c r="N26" i="1"/>
  <c r="N16" i="1" s="1"/>
  <c r="I77" i="1"/>
  <c r="I65" i="1" s="1"/>
  <c r="K84" i="1"/>
  <c r="K110" i="1"/>
  <c r="O127" i="1"/>
  <c r="N167" i="1"/>
  <c r="L171" i="1"/>
  <c r="O171" i="1" s="1"/>
  <c r="N209" i="1"/>
  <c r="L263" i="1"/>
  <c r="L261" i="1" s="1"/>
  <c r="M391" i="1"/>
  <c r="P394" i="1"/>
  <c r="O410" i="1"/>
  <c r="K443" i="1"/>
  <c r="M525" i="1"/>
  <c r="M523" i="1" s="1"/>
  <c r="J679" i="1"/>
  <c r="J678" i="1" s="1"/>
  <c r="L688" i="1"/>
  <c r="K728" i="1"/>
  <c r="K825" i="1"/>
  <c r="M122" i="1"/>
  <c r="P122" i="1" s="1"/>
  <c r="N134" i="1"/>
  <c r="N132" i="1" s="1"/>
  <c r="L209" i="1"/>
  <c r="P334" i="1"/>
  <c r="N347" i="1"/>
  <c r="N345" i="1" s="1"/>
  <c r="J583" i="1"/>
  <c r="J577" i="1" s="1"/>
  <c r="K577" i="1" s="1"/>
  <c r="M23" i="1"/>
  <c r="J76" i="1"/>
  <c r="J64" i="1" s="1"/>
  <c r="M90" i="1"/>
  <c r="M88" i="1" s="1"/>
  <c r="K115" i="1"/>
  <c r="P124" i="1"/>
  <c r="L135" i="1"/>
  <c r="O135" i="1" s="1"/>
  <c r="J237" i="1"/>
  <c r="J226" i="1" s="1"/>
  <c r="J180" i="1" s="1"/>
  <c r="K247" i="1"/>
  <c r="P336" i="1"/>
  <c r="J327" i="1"/>
  <c r="K327" i="1" s="1"/>
  <c r="I364" i="1"/>
  <c r="N472" i="1"/>
  <c r="N469" i="1" s="1"/>
  <c r="N467" i="1" s="1"/>
  <c r="L632" i="1"/>
  <c r="O641" i="1"/>
  <c r="J708" i="1"/>
  <c r="L68" i="1"/>
  <c r="P96" i="1"/>
  <c r="M125" i="1"/>
  <c r="K144" i="1"/>
  <c r="O186" i="1"/>
  <c r="I233" i="1"/>
  <c r="L230" i="1"/>
  <c r="N263" i="1"/>
  <c r="N261" i="1" s="1"/>
  <c r="K271" i="1"/>
  <c r="O303" i="1"/>
  <c r="K381" i="1"/>
  <c r="L404" i="1"/>
  <c r="L402" i="1" s="1"/>
  <c r="O407" i="1"/>
  <c r="K487" i="1"/>
  <c r="K495" i="1"/>
  <c r="J621" i="1"/>
  <c r="K621" i="1" s="1"/>
  <c r="P46" i="1"/>
  <c r="P32" i="1"/>
  <c r="P58" i="1"/>
  <c r="M68" i="1"/>
  <c r="L94" i="1"/>
  <c r="O94" i="1" s="1"/>
  <c r="K103" i="1"/>
  <c r="K113" i="1"/>
  <c r="N151" i="1"/>
  <c r="P184" i="1"/>
  <c r="I208" i="1"/>
  <c r="K208" i="1" s="1"/>
  <c r="K223" i="1"/>
  <c r="L228" i="1"/>
  <c r="J233" i="1"/>
  <c r="L238" i="1"/>
  <c r="L264" i="1"/>
  <c r="L279" i="1"/>
  <c r="L277" i="1" s="1"/>
  <c r="P282" i="1"/>
  <c r="K276" i="1"/>
  <c r="K293" i="1"/>
  <c r="O353" i="1"/>
  <c r="M405" i="1"/>
  <c r="P405" i="1" s="1"/>
  <c r="K462" i="1"/>
  <c r="K643" i="1"/>
  <c r="N690" i="1"/>
  <c r="N688" i="1" s="1"/>
  <c r="K726" i="1"/>
  <c r="O184" i="1"/>
  <c r="N198" i="1"/>
  <c r="L283" i="1"/>
  <c r="O283" i="1" s="1"/>
  <c r="N55" i="1"/>
  <c r="N53" i="1" s="1"/>
  <c r="L59" i="1"/>
  <c r="O59" i="1" s="1"/>
  <c r="K80" i="1"/>
  <c r="K104" i="1"/>
  <c r="K109" i="1"/>
  <c r="K114" i="1"/>
  <c r="K118" i="1"/>
  <c r="M134" i="1"/>
  <c r="M132" i="1" s="1"/>
  <c r="P170" i="1"/>
  <c r="L183" i="1"/>
  <c r="L181" i="1" s="1"/>
  <c r="P186" i="1"/>
  <c r="L198" i="1"/>
  <c r="K204" i="1"/>
  <c r="I235" i="1"/>
  <c r="K235" i="1" s="1"/>
  <c r="K288" i="1"/>
  <c r="P303" i="1"/>
  <c r="K311" i="1"/>
  <c r="M347" i="1"/>
  <c r="K369" i="1"/>
  <c r="K413" i="1"/>
  <c r="K437" i="1"/>
  <c r="I442" i="1"/>
  <c r="K442" i="1" s="1"/>
  <c r="M446" i="1"/>
  <c r="M444" i="1" s="1"/>
  <c r="K489" i="1"/>
  <c r="J620" i="1"/>
  <c r="K620" i="1" s="1"/>
  <c r="K644" i="1"/>
  <c r="K800" i="1"/>
  <c r="P19" i="1"/>
  <c r="L26" i="1"/>
  <c r="O49" i="1"/>
  <c r="L47" i="1"/>
  <c r="O47" i="1" s="1"/>
  <c r="K174" i="1"/>
  <c r="J164" i="1"/>
  <c r="K164" i="1" s="1"/>
  <c r="P61" i="1"/>
  <c r="M59" i="1"/>
  <c r="P59" i="1" s="1"/>
  <c r="L12" i="1"/>
  <c r="O32" i="1"/>
  <c r="L29" i="1"/>
  <c r="M15" i="1"/>
  <c r="P35" i="1"/>
  <c r="M34" i="1"/>
  <c r="P34" i="1" s="1"/>
  <c r="M55" i="1"/>
  <c r="I226" i="1"/>
  <c r="O19" i="1"/>
  <c r="L43" i="1"/>
  <c r="P67" i="1"/>
  <c r="M26" i="1"/>
  <c r="L317" i="1"/>
  <c r="O320" i="1"/>
  <c r="L318" i="1"/>
  <c r="O318" i="1" s="1"/>
  <c r="N391" i="1"/>
  <c r="N389" i="1" s="1"/>
  <c r="N392" i="1"/>
  <c r="J401" i="1"/>
  <c r="K401" i="1" s="1"/>
  <c r="K412" i="1"/>
  <c r="N528" i="1"/>
  <c r="J582" i="1"/>
  <c r="J576" i="1" s="1"/>
  <c r="J559" i="1" s="1"/>
  <c r="J543" i="1" s="1"/>
  <c r="N791" i="1"/>
  <c r="M43" i="1"/>
  <c r="L69" i="1"/>
  <c r="O69" i="1" s="1"/>
  <c r="K78" i="1"/>
  <c r="L91" i="1"/>
  <c r="O91" i="1" s="1"/>
  <c r="N125" i="1"/>
  <c r="O125" i="1" s="1"/>
  <c r="M135" i="1"/>
  <c r="P135" i="1" s="1"/>
  <c r="N152" i="1"/>
  <c r="O152" i="1" s="1"/>
  <c r="O154" i="1"/>
  <c r="K159" i="1"/>
  <c r="M171" i="1"/>
  <c r="P171" i="1" s="1"/>
  <c r="K176" i="1"/>
  <c r="L187" i="1"/>
  <c r="O187" i="1" s="1"/>
  <c r="P266" i="1"/>
  <c r="M317" i="1"/>
  <c r="O408" i="1"/>
  <c r="M467" i="1"/>
  <c r="I543" i="1"/>
  <c r="N808" i="1"/>
  <c r="N807" i="1"/>
  <c r="N805" i="1" s="1"/>
  <c r="N23" i="1"/>
  <c r="M29" i="1"/>
  <c r="N43" i="1"/>
  <c r="N41" i="1" s="1"/>
  <c r="M47" i="1"/>
  <c r="P47" i="1" s="1"/>
  <c r="M69" i="1"/>
  <c r="P69" i="1" s="1"/>
  <c r="K81" i="1"/>
  <c r="M91" i="1"/>
  <c r="P91" i="1" s="1"/>
  <c r="O137" i="1"/>
  <c r="L151" i="1"/>
  <c r="P154" i="1"/>
  <c r="N183" i="1"/>
  <c r="N181" i="1" s="1"/>
  <c r="M187" i="1"/>
  <c r="P187" i="1" s="1"/>
  <c r="I197" i="1"/>
  <c r="K197" i="1" s="1"/>
  <c r="L267" i="1"/>
  <c r="O267" i="1" s="1"/>
  <c r="L280" i="1"/>
  <c r="O280" i="1" s="1"/>
  <c r="K287" i="1"/>
  <c r="O299" i="1"/>
  <c r="P323" i="1"/>
  <c r="O71" i="1"/>
  <c r="O93" i="1"/>
  <c r="K98" i="1"/>
  <c r="P137" i="1"/>
  <c r="K143" i="1"/>
  <c r="M263" i="1"/>
  <c r="M267" i="1"/>
  <c r="P267" i="1" s="1"/>
  <c r="M280" i="1"/>
  <c r="P280" i="1" s="1"/>
  <c r="K314" i="1"/>
  <c r="L330" i="1"/>
  <c r="L331" i="1"/>
  <c r="O331" i="1" s="1"/>
  <c r="L347" i="1"/>
  <c r="L348" i="1"/>
  <c r="O348" i="1" s="1"/>
  <c r="K365" i="1"/>
  <c r="O395" i="1"/>
  <c r="K440" i="1"/>
  <c r="I434" i="1"/>
  <c r="O445" i="1"/>
  <c r="I522" i="1"/>
  <c r="K522" i="1" s="1"/>
  <c r="K537" i="1"/>
  <c r="P71" i="1"/>
  <c r="P93" i="1"/>
  <c r="K294" i="1"/>
  <c r="P545" i="1"/>
  <c r="L546" i="1"/>
  <c r="L547" i="1"/>
  <c r="J603" i="1"/>
  <c r="M631" i="1"/>
  <c r="M629" i="1" s="1"/>
  <c r="M632" i="1"/>
  <c r="M657" i="1"/>
  <c r="M658" i="1"/>
  <c r="K699" i="1"/>
  <c r="P410" i="1"/>
  <c r="M408" i="1"/>
  <c r="P408" i="1" s="1"/>
  <c r="J568" i="1"/>
  <c r="K568" i="1" s="1"/>
  <c r="J595" i="1"/>
  <c r="N634" i="1"/>
  <c r="N737" i="1"/>
  <c r="P806" i="1"/>
  <c r="M805" i="1"/>
  <c r="P805" i="1" s="1"/>
  <c r="M44" i="1"/>
  <c r="P44" i="1" s="1"/>
  <c r="N56" i="1"/>
  <c r="P56" i="1" s="1"/>
  <c r="N138" i="1"/>
  <c r="P138" i="1" s="1"/>
  <c r="N168" i="1"/>
  <c r="P168" i="1" s="1"/>
  <c r="J190" i="1"/>
  <c r="K190" i="1" s="1"/>
  <c r="P306" i="1"/>
  <c r="M304" i="1"/>
  <c r="P304" i="1" s="1"/>
  <c r="N404" i="1"/>
  <c r="N402" i="1" s="1"/>
  <c r="N405" i="1"/>
  <c r="J466" i="1"/>
  <c r="K466" i="1" s="1"/>
  <c r="K498" i="1"/>
  <c r="N740" i="1"/>
  <c r="M12" i="1"/>
  <c r="N15" i="1"/>
  <c r="K255" i="1"/>
  <c r="M283" i="1"/>
  <c r="P283" i="1" s="1"/>
  <c r="P316" i="1"/>
  <c r="P351" i="1"/>
  <c r="K385" i="1"/>
  <c r="P397" i="1"/>
  <c r="M395" i="1"/>
  <c r="P395" i="1" s="1"/>
  <c r="M404" i="1"/>
  <c r="N449" i="1"/>
  <c r="O449" i="1" s="1"/>
  <c r="M685" i="1"/>
  <c r="O755" i="1"/>
  <c r="L754" i="1"/>
  <c r="O754" i="1" s="1"/>
  <c r="N300" i="1"/>
  <c r="N298" i="1" s="1"/>
  <c r="N321" i="1"/>
  <c r="O321" i="1" s="1"/>
  <c r="M331" i="1"/>
  <c r="P331" i="1" s="1"/>
  <c r="M348" i="1"/>
  <c r="P348" i="1" s="1"/>
  <c r="P333" i="1"/>
  <c r="P350" i="1"/>
  <c r="K400" i="1"/>
  <c r="L685" i="1"/>
  <c r="M688" i="1"/>
  <c r="P756" i="1"/>
  <c r="L301" i="1"/>
  <c r="O301" i="1" s="1"/>
  <c r="M318" i="1"/>
  <c r="P318" i="1" s="1"/>
  <c r="L334" i="1"/>
  <c r="O334" i="1" s="1"/>
  <c r="L351" i="1"/>
  <c r="O351" i="1" s="1"/>
  <c r="L447" i="1"/>
  <c r="K673" i="1"/>
  <c r="L805" i="1"/>
  <c r="O805" i="1" s="1"/>
  <c r="L533" i="1"/>
  <c r="O533" i="1" s="1"/>
  <c r="I654" i="1"/>
  <c r="L789" i="1"/>
  <c r="O789" i="1" s="1"/>
  <c r="L429" i="1"/>
  <c r="O429" i="1" s="1"/>
  <c r="L477" i="1"/>
  <c r="O477" i="1" s="1"/>
  <c r="L502" i="1"/>
  <c r="O502" i="1" s="1"/>
  <c r="L389" i="12" l="1"/>
  <c r="O389" i="12" s="1"/>
  <c r="L655" i="3"/>
  <c r="O655" i="3" s="1"/>
  <c r="O631" i="9"/>
  <c r="L298" i="14"/>
  <c r="O298" i="14" s="1"/>
  <c r="O90" i="15"/>
  <c r="K364" i="6"/>
  <c r="P68" i="15"/>
  <c r="O525" i="15"/>
  <c r="O134" i="13"/>
  <c r="O138" i="15"/>
  <c r="O345" i="15"/>
  <c r="P168" i="14"/>
  <c r="M525" i="15"/>
  <c r="P525" i="15" s="1"/>
  <c r="K364" i="15"/>
  <c r="P345" i="15"/>
  <c r="M526" i="15"/>
  <c r="P526" i="15" s="1"/>
  <c r="M389" i="14"/>
  <c r="P389" i="14" s="1"/>
  <c r="P55" i="15"/>
  <c r="O53" i="15"/>
  <c r="O55" i="15"/>
  <c r="O132" i="15"/>
  <c r="O121" i="14"/>
  <c r="P300" i="15"/>
  <c r="P151" i="14"/>
  <c r="L34" i="15"/>
  <c r="O34" i="15" s="1"/>
  <c r="O168" i="14"/>
  <c r="P134" i="15"/>
  <c r="L30" i="15"/>
  <c r="O30" i="15" s="1"/>
  <c r="P263" i="13"/>
  <c r="K433" i="15"/>
  <c r="M119" i="15"/>
  <c r="P119" i="15" s="1"/>
  <c r="L786" i="15"/>
  <c r="O786" i="15" s="1"/>
  <c r="P165" i="15"/>
  <c r="I226" i="15"/>
  <c r="K226" i="15" s="1"/>
  <c r="P347" i="13"/>
  <c r="O657" i="14"/>
  <c r="P264" i="14"/>
  <c r="P347" i="15"/>
  <c r="O277" i="15"/>
  <c r="P348" i="9"/>
  <c r="O167" i="13"/>
  <c r="K143" i="13"/>
  <c r="L685" i="15"/>
  <c r="O685" i="15" s="1"/>
  <c r="M53" i="15"/>
  <c r="P53" i="15" s="1"/>
  <c r="P328" i="15"/>
  <c r="P151" i="15"/>
  <c r="O90" i="12"/>
  <c r="O88" i="12"/>
  <c r="M277" i="13"/>
  <c r="P277" i="13" s="1"/>
  <c r="O183" i="13"/>
  <c r="O33" i="13"/>
  <c r="I64" i="13"/>
  <c r="K64" i="13" s="1"/>
  <c r="K77" i="14"/>
  <c r="L544" i="15"/>
  <c r="O544" i="15" s="1"/>
  <c r="P449" i="15"/>
  <c r="M402" i="15"/>
  <c r="P402" i="15" s="1"/>
  <c r="M447" i="15"/>
  <c r="P447" i="15" s="1"/>
  <c r="K77" i="15"/>
  <c r="L786" i="14"/>
  <c r="O786" i="14" s="1"/>
  <c r="M421" i="14"/>
  <c r="M419" i="14" s="1"/>
  <c r="P419" i="14" s="1"/>
  <c r="O66" i="15"/>
  <c r="O68" i="15"/>
  <c r="P183" i="15"/>
  <c r="L34" i="9"/>
  <c r="O34" i="9" s="1"/>
  <c r="M632" i="13"/>
  <c r="P632" i="13" s="1"/>
  <c r="O547" i="14"/>
  <c r="M132" i="14"/>
  <c r="P132" i="14" s="1"/>
  <c r="L88" i="15"/>
  <c r="O88" i="15" s="1"/>
  <c r="P317" i="6"/>
  <c r="P634" i="13"/>
  <c r="M277" i="14"/>
  <c r="P277" i="14" s="1"/>
  <c r="M277" i="10"/>
  <c r="P277" i="10" s="1"/>
  <c r="M629" i="13"/>
  <c r="P629" i="13" s="1"/>
  <c r="L31" i="15"/>
  <c r="O31" i="15" s="1"/>
  <c r="P446" i="15"/>
  <c r="K654" i="9"/>
  <c r="O404" i="14"/>
  <c r="P68" i="14"/>
  <c r="P23" i="14"/>
  <c r="L298" i="12"/>
  <c r="O298" i="12" s="1"/>
  <c r="L66" i="13"/>
  <c r="O66" i="13" s="1"/>
  <c r="K143" i="15"/>
  <c r="M132" i="15"/>
  <c r="K131" i="15"/>
  <c r="O347" i="15"/>
  <c r="O132" i="13"/>
  <c r="M119" i="14"/>
  <c r="P119" i="14" s="1"/>
  <c r="O264" i="14"/>
  <c r="O183" i="15"/>
  <c r="I180" i="15"/>
  <c r="K180" i="15" s="1"/>
  <c r="M181" i="15"/>
  <c r="P181" i="15" s="1"/>
  <c r="P300" i="13"/>
  <c r="P90" i="14"/>
  <c r="O181" i="15"/>
  <c r="O167" i="15"/>
  <c r="O33" i="14"/>
  <c r="N21" i="14"/>
  <c r="N10" i="14"/>
  <c r="M422" i="14"/>
  <c r="P422" i="14" s="1"/>
  <c r="P330" i="15"/>
  <c r="O279" i="15"/>
  <c r="L444" i="14"/>
  <c r="O444" i="14" s="1"/>
  <c r="O151" i="15"/>
  <c r="O184" i="15"/>
  <c r="P184" i="15"/>
  <c r="L419" i="10"/>
  <c r="O419" i="10" s="1"/>
  <c r="P151" i="10"/>
  <c r="M21" i="14"/>
  <c r="O631" i="13"/>
  <c r="N165" i="13"/>
  <c r="P165" i="13" s="1"/>
  <c r="M20" i="14"/>
  <c r="M18" i="14" s="1"/>
  <c r="P44" i="15"/>
  <c r="M547" i="13"/>
  <c r="P547" i="13" s="1"/>
  <c r="P301" i="15"/>
  <c r="O165" i="15"/>
  <c r="P43" i="11"/>
  <c r="P549" i="13"/>
  <c r="M298" i="14"/>
  <c r="P298" i="14" s="1"/>
  <c r="O53" i="14"/>
  <c r="O55" i="14"/>
  <c r="N298" i="15"/>
  <c r="P298" i="15" s="1"/>
  <c r="L119" i="15"/>
  <c r="O119" i="15" s="1"/>
  <c r="P132" i="15"/>
  <c r="O134" i="15"/>
  <c r="P331" i="15"/>
  <c r="L149" i="15"/>
  <c r="O56" i="15"/>
  <c r="N149" i="15"/>
  <c r="P149" i="15" s="1"/>
  <c r="I418" i="15"/>
  <c r="K418" i="15" s="1"/>
  <c r="K434" i="15"/>
  <c r="L132" i="12"/>
  <c r="O132" i="12" s="1"/>
  <c r="K433" i="14"/>
  <c r="O300" i="15"/>
  <c r="M389" i="15"/>
  <c r="P389" i="15" s="1"/>
  <c r="O44" i="15"/>
  <c r="N24" i="14"/>
  <c r="O24" i="14" s="1"/>
  <c r="P263" i="15"/>
  <c r="P167" i="15"/>
  <c r="P56" i="15"/>
  <c r="O657" i="11"/>
  <c r="L30" i="14"/>
  <c r="O30" i="14" s="1"/>
  <c r="P549" i="15"/>
  <c r="M547" i="15"/>
  <c r="P547" i="15" s="1"/>
  <c r="M546" i="15"/>
  <c r="O15" i="15"/>
  <c r="L9" i="15"/>
  <c r="M422" i="15"/>
  <c r="P422" i="15" s="1"/>
  <c r="P424" i="15"/>
  <c r="M421" i="15"/>
  <c r="M33" i="15"/>
  <c r="M13" i="15" s="1"/>
  <c r="O23" i="15"/>
  <c r="L13" i="15"/>
  <c r="L20" i="15"/>
  <c r="L21" i="15"/>
  <c r="L444" i="15"/>
  <c r="O444" i="15" s="1"/>
  <c r="O446" i="15"/>
  <c r="O90" i="14"/>
  <c r="M402" i="14"/>
  <c r="P402" i="14" s="1"/>
  <c r="N315" i="15"/>
  <c r="O315" i="15" s="1"/>
  <c r="P317" i="15"/>
  <c r="P472" i="15"/>
  <c r="M470" i="15"/>
  <c r="P470" i="15" s="1"/>
  <c r="M469" i="15"/>
  <c r="O404" i="15"/>
  <c r="L402" i="15"/>
  <c r="O402" i="15" s="1"/>
  <c r="L328" i="15"/>
  <c r="O328" i="15" s="1"/>
  <c r="O330" i="15"/>
  <c r="K76" i="15"/>
  <c r="I64" i="15"/>
  <c r="K64" i="15" s="1"/>
  <c r="O43" i="15"/>
  <c r="L41" i="15"/>
  <c r="P348" i="15"/>
  <c r="K537" i="15"/>
  <c r="J522" i="15"/>
  <c r="K522" i="15" s="1"/>
  <c r="O26" i="15"/>
  <c r="L16" i="15"/>
  <c r="O16" i="15" s="1"/>
  <c r="L24" i="15"/>
  <c r="N20" i="15"/>
  <c r="N18" i="15" s="1"/>
  <c r="N13" i="15"/>
  <c r="L786" i="9"/>
  <c r="O786" i="9" s="1"/>
  <c r="O631" i="11"/>
  <c r="K77" i="12"/>
  <c r="L685" i="13"/>
  <c r="O685" i="13" s="1"/>
  <c r="M119" i="13"/>
  <c r="P119" i="13" s="1"/>
  <c r="O421" i="14"/>
  <c r="L389" i="14"/>
  <c r="O389" i="14" s="1"/>
  <c r="O331" i="14"/>
  <c r="N20" i="14"/>
  <c r="N18" i="14" s="1"/>
  <c r="O43" i="13"/>
  <c r="L298" i="15"/>
  <c r="M20" i="15"/>
  <c r="M18" i="15" s="1"/>
  <c r="P23" i="15"/>
  <c r="P41" i="15"/>
  <c r="M119" i="8"/>
  <c r="P119" i="8" s="1"/>
  <c r="P167" i="9"/>
  <c r="O317" i="13"/>
  <c r="N88" i="14"/>
  <c r="P88" i="14" s="1"/>
  <c r="N41" i="13"/>
  <c r="O41" i="13" s="1"/>
  <c r="N14" i="14"/>
  <c r="I164" i="15"/>
  <c r="K164" i="15" s="1"/>
  <c r="K174" i="15"/>
  <c r="P19" i="15"/>
  <c r="O29" i="15"/>
  <c r="P261" i="15"/>
  <c r="P43" i="15"/>
  <c r="N24" i="15"/>
  <c r="K364" i="11"/>
  <c r="O657" i="12"/>
  <c r="M149" i="12"/>
  <c r="P149" i="12" s="1"/>
  <c r="P330" i="14"/>
  <c r="O263" i="14"/>
  <c r="L132" i="14"/>
  <c r="O132" i="14" s="1"/>
  <c r="L227" i="15"/>
  <c r="O238" i="15"/>
  <c r="O317" i="15"/>
  <c r="N14" i="15"/>
  <c r="N21" i="15"/>
  <c r="P21" i="15" s="1"/>
  <c r="L629" i="14"/>
  <c r="O629" i="14" s="1"/>
  <c r="M88" i="15"/>
  <c r="P88" i="15" s="1"/>
  <c r="P90" i="15"/>
  <c r="L467" i="10"/>
  <c r="O467" i="10" s="1"/>
  <c r="L277" i="14"/>
  <c r="O277" i="14" s="1"/>
  <c r="L34" i="14"/>
  <c r="O34" i="14" s="1"/>
  <c r="O631" i="15"/>
  <c r="L629" i="15"/>
  <c r="O629" i="15" s="1"/>
  <c r="L389" i="15"/>
  <c r="O389" i="15" s="1"/>
  <c r="O391" i="15"/>
  <c r="O469" i="15"/>
  <c r="L467" i="15"/>
  <c r="O467" i="15" s="1"/>
  <c r="L261" i="15"/>
  <c r="O261" i="15" s="1"/>
  <c r="O263" i="15"/>
  <c r="P26" i="15"/>
  <c r="M16" i="15"/>
  <c r="M24" i="15"/>
  <c r="P444" i="15"/>
  <c r="L419" i="15"/>
  <c r="O421" i="15"/>
  <c r="M277" i="15"/>
  <c r="P277" i="15" s="1"/>
  <c r="P279" i="15"/>
  <c r="P9" i="15"/>
  <c r="P183" i="14"/>
  <c r="O88" i="13"/>
  <c r="P152" i="14"/>
  <c r="L66" i="14"/>
  <c r="O66" i="14" s="1"/>
  <c r="P90" i="13"/>
  <c r="O183" i="11"/>
  <c r="O421" i="12"/>
  <c r="L629" i="12"/>
  <c r="O629" i="12" s="1"/>
  <c r="K143" i="5"/>
  <c r="L132" i="8"/>
  <c r="O132" i="8" s="1"/>
  <c r="O44" i="10"/>
  <c r="M88" i="13"/>
  <c r="P88" i="13" s="1"/>
  <c r="K364" i="14"/>
  <c r="O44" i="14"/>
  <c r="N261" i="14"/>
  <c r="O261" i="14" s="1"/>
  <c r="P43" i="14"/>
  <c r="M546" i="14"/>
  <c r="M547" i="14"/>
  <c r="P547" i="14" s="1"/>
  <c r="O184" i="14"/>
  <c r="M165" i="14"/>
  <c r="P165" i="14" s="1"/>
  <c r="P167" i="14"/>
  <c r="L315" i="14"/>
  <c r="O315" i="14" s="1"/>
  <c r="L149" i="14"/>
  <c r="O149" i="14" s="1"/>
  <c r="P181" i="14"/>
  <c r="L20" i="13"/>
  <c r="L18" i="13" s="1"/>
  <c r="P56" i="14"/>
  <c r="L31" i="11"/>
  <c r="O31" i="11" s="1"/>
  <c r="M149" i="14"/>
  <c r="P149" i="14" s="1"/>
  <c r="P264" i="7"/>
  <c r="O263" i="13"/>
  <c r="L34" i="13"/>
  <c r="O34" i="13" s="1"/>
  <c r="N298" i="13"/>
  <c r="P298" i="13" s="1"/>
  <c r="L544" i="13"/>
  <c r="O544" i="13" s="1"/>
  <c r="L389" i="13"/>
  <c r="O389" i="13" s="1"/>
  <c r="K543" i="14"/>
  <c r="L181" i="14"/>
  <c r="O181" i="14" s="1"/>
  <c r="O183" i="14"/>
  <c r="P317" i="14"/>
  <c r="M315" i="14"/>
  <c r="P315" i="14" s="1"/>
  <c r="K76" i="14"/>
  <c r="I64" i="14"/>
  <c r="K64" i="14" s="1"/>
  <c r="L165" i="14"/>
  <c r="O165" i="14" s="1"/>
  <c r="O167" i="14"/>
  <c r="O525" i="14"/>
  <c r="L523" i="14"/>
  <c r="O523" i="14" s="1"/>
  <c r="M149" i="11"/>
  <c r="P149" i="11" s="1"/>
  <c r="P183" i="12"/>
  <c r="K364" i="13"/>
  <c r="O470" i="14"/>
  <c r="O546" i="14"/>
  <c r="O23" i="14"/>
  <c r="L13" i="14"/>
  <c r="L21" i="14"/>
  <c r="L20" i="14"/>
  <c r="K364" i="12"/>
  <c r="O31" i="13"/>
  <c r="L685" i="14"/>
  <c r="O685" i="14" s="1"/>
  <c r="K248" i="14"/>
  <c r="I226" i="14"/>
  <c r="M469" i="14"/>
  <c r="P472" i="14"/>
  <c r="M470" i="14"/>
  <c r="P470" i="14" s="1"/>
  <c r="M33" i="14"/>
  <c r="O544" i="14"/>
  <c r="O43" i="14"/>
  <c r="L41" i="14"/>
  <c r="P55" i="14"/>
  <c r="M53" i="14"/>
  <c r="P9" i="14"/>
  <c r="O404" i="13"/>
  <c r="L402" i="13"/>
  <c r="O402" i="13" s="1"/>
  <c r="P183" i="10"/>
  <c r="O546" i="11"/>
  <c r="O261" i="11"/>
  <c r="P43" i="10"/>
  <c r="L30" i="13"/>
  <c r="O30" i="13" s="1"/>
  <c r="M345" i="13"/>
  <c r="P345" i="13" s="1"/>
  <c r="O347" i="13"/>
  <c r="L119" i="13"/>
  <c r="O119" i="13" s="1"/>
  <c r="K434" i="14"/>
  <c r="I418" i="14"/>
  <c r="K418" i="14" s="1"/>
  <c r="O419" i="14"/>
  <c r="K559" i="14"/>
  <c r="N11" i="14"/>
  <c r="N9" i="14"/>
  <c r="O238" i="14"/>
  <c r="L227" i="14"/>
  <c r="P26" i="14"/>
  <c r="M16" i="14"/>
  <c r="M24" i="14"/>
  <c r="N414" i="14"/>
  <c r="L629" i="8"/>
  <c r="O629" i="8" s="1"/>
  <c r="P347" i="12"/>
  <c r="K537" i="13"/>
  <c r="O469" i="14"/>
  <c r="L467" i="14"/>
  <c r="O467" i="14" s="1"/>
  <c r="P263" i="14"/>
  <c r="M261" i="14"/>
  <c r="N328" i="14"/>
  <c r="P328" i="14" s="1"/>
  <c r="O330" i="14"/>
  <c r="P41" i="14"/>
  <c r="P44" i="10"/>
  <c r="L419" i="11"/>
  <c r="O419" i="11" s="1"/>
  <c r="O91" i="12"/>
  <c r="L786" i="13"/>
  <c r="O786" i="13" s="1"/>
  <c r="P53" i="13"/>
  <c r="N345" i="14"/>
  <c r="O347" i="14"/>
  <c r="P347" i="14"/>
  <c r="L16" i="14"/>
  <c r="O26" i="14"/>
  <c r="O19" i="14"/>
  <c r="L119" i="10"/>
  <c r="O119" i="10" s="1"/>
  <c r="P23" i="12"/>
  <c r="P41" i="12"/>
  <c r="O90" i="13"/>
  <c r="L523" i="5"/>
  <c r="O523" i="5" s="1"/>
  <c r="L227" i="13"/>
  <c r="O165" i="9"/>
  <c r="L149" i="11"/>
  <c r="O149" i="11" s="1"/>
  <c r="P449" i="10"/>
  <c r="O43" i="12"/>
  <c r="N21" i="12"/>
  <c r="P21" i="12" s="1"/>
  <c r="P165" i="12"/>
  <c r="O264" i="12"/>
  <c r="P167" i="12"/>
  <c r="L13" i="13"/>
  <c r="L11" i="13" s="1"/>
  <c r="N41" i="10"/>
  <c r="P41" i="10" s="1"/>
  <c r="O135" i="13"/>
  <c r="P135" i="13"/>
  <c r="P549" i="9"/>
  <c r="L298" i="10"/>
  <c r="O298" i="10" s="1"/>
  <c r="O167" i="11"/>
  <c r="M149" i="13"/>
  <c r="P149" i="13" s="1"/>
  <c r="N315" i="13"/>
  <c r="O151" i="13"/>
  <c r="L149" i="13"/>
  <c r="O149" i="13" s="1"/>
  <c r="M447" i="10"/>
  <c r="P447" i="10" s="1"/>
  <c r="L315" i="12"/>
  <c r="O315" i="12" s="1"/>
  <c r="L119" i="12"/>
  <c r="O119" i="12" s="1"/>
  <c r="L34" i="12"/>
  <c r="O34" i="12" s="1"/>
  <c r="P55" i="12"/>
  <c r="M421" i="13"/>
  <c r="M419" i="13" s="1"/>
  <c r="P134" i="13"/>
  <c r="M132" i="13"/>
  <c r="P132" i="13" s="1"/>
  <c r="M41" i="11"/>
  <c r="P41" i="11" s="1"/>
  <c r="O261" i="12"/>
  <c r="K434" i="11"/>
  <c r="P53" i="12"/>
  <c r="O263" i="12"/>
  <c r="M119" i="12"/>
  <c r="P119" i="12" s="1"/>
  <c r="L419" i="13"/>
  <c r="O419" i="13" s="1"/>
  <c r="M422" i="13"/>
  <c r="P422" i="13" s="1"/>
  <c r="O44" i="13"/>
  <c r="P446" i="10"/>
  <c r="P134" i="9"/>
  <c r="O90" i="11"/>
  <c r="O55" i="12"/>
  <c r="K143" i="12"/>
  <c r="M24" i="13"/>
  <c r="P183" i="13"/>
  <c r="N181" i="13"/>
  <c r="P181" i="13" s="1"/>
  <c r="P629" i="11"/>
  <c r="M277" i="12"/>
  <c r="P277" i="12" s="1"/>
  <c r="P263" i="12"/>
  <c r="L149" i="12"/>
  <c r="O149" i="12" s="1"/>
  <c r="L345" i="13"/>
  <c r="O345" i="13" s="1"/>
  <c r="L523" i="13"/>
  <c r="O523" i="13" s="1"/>
  <c r="P167" i="13"/>
  <c r="L544" i="8"/>
  <c r="O544" i="8" s="1"/>
  <c r="M544" i="13"/>
  <c r="P544" i="13" s="1"/>
  <c r="P545" i="13"/>
  <c r="O279" i="13"/>
  <c r="L277" i="13"/>
  <c r="O277" i="13" s="1"/>
  <c r="N20" i="13"/>
  <c r="N13" i="13"/>
  <c r="N10" i="13" s="1"/>
  <c r="P330" i="13"/>
  <c r="M328" i="13"/>
  <c r="P328" i="13" s="1"/>
  <c r="M261" i="13"/>
  <c r="P261" i="13" s="1"/>
  <c r="P12" i="13"/>
  <c r="M9" i="13"/>
  <c r="M655" i="13"/>
  <c r="P655" i="13" s="1"/>
  <c r="P657" i="13"/>
  <c r="K77" i="13"/>
  <c r="I65" i="13"/>
  <c r="K65" i="13" s="1"/>
  <c r="P55" i="13"/>
  <c r="N414" i="13"/>
  <c r="O9" i="13"/>
  <c r="O261" i="13"/>
  <c r="P658" i="13"/>
  <c r="O328" i="13"/>
  <c r="O23" i="13"/>
  <c r="M525" i="13"/>
  <c r="P528" i="13"/>
  <c r="M526" i="13"/>
  <c r="P526" i="13" s="1"/>
  <c r="K174" i="13"/>
  <c r="I164" i="13"/>
  <c r="K164" i="13" s="1"/>
  <c r="P43" i="13"/>
  <c r="M41" i="13"/>
  <c r="O53" i="13"/>
  <c r="O348" i="12"/>
  <c r="M389" i="13"/>
  <c r="P389" i="13" s="1"/>
  <c r="M446" i="13"/>
  <c r="P449" i="13"/>
  <c r="M447" i="13"/>
  <c r="P447" i="13" s="1"/>
  <c r="M33" i="13"/>
  <c r="M13" i="13" s="1"/>
  <c r="M11" i="13" s="1"/>
  <c r="L467" i="13"/>
  <c r="O467" i="13" s="1"/>
  <c r="K433" i="13"/>
  <c r="I417" i="13"/>
  <c r="K417" i="13" s="1"/>
  <c r="O55" i="13"/>
  <c r="N24" i="13"/>
  <c r="O24" i="13" s="1"/>
  <c r="O31" i="9"/>
  <c r="O657" i="13"/>
  <c r="K434" i="13"/>
  <c r="I418" i="13"/>
  <c r="K418" i="13" s="1"/>
  <c r="O29" i="13"/>
  <c r="N9" i="13"/>
  <c r="K237" i="13"/>
  <c r="I226" i="13"/>
  <c r="O446" i="13"/>
  <c r="L444" i="13"/>
  <c r="O444" i="13" s="1"/>
  <c r="K559" i="13"/>
  <c r="I543" i="13"/>
  <c r="K543" i="13" s="1"/>
  <c r="M402" i="13"/>
  <c r="P402" i="13" s="1"/>
  <c r="P404" i="13"/>
  <c r="L16" i="13"/>
  <c r="P472" i="13"/>
  <c r="M470" i="13"/>
  <c r="P470" i="13" s="1"/>
  <c r="M469" i="13"/>
  <c r="M20" i="13"/>
  <c r="M18" i="13" s="1"/>
  <c r="P23" i="13"/>
  <c r="O26" i="13"/>
  <c r="P16" i="13"/>
  <c r="O300" i="13"/>
  <c r="L298" i="13"/>
  <c r="P29" i="13"/>
  <c r="L181" i="13"/>
  <c r="N14" i="13"/>
  <c r="P14" i="13" s="1"/>
  <c r="P317" i="13"/>
  <c r="M315" i="13"/>
  <c r="O330" i="13"/>
  <c r="P19" i="13"/>
  <c r="N21" i="13"/>
  <c r="P21" i="13" s="1"/>
  <c r="P26" i="13"/>
  <c r="O263" i="11"/>
  <c r="M402" i="11"/>
  <c r="P402" i="11" s="1"/>
  <c r="L786" i="12"/>
  <c r="O786" i="12" s="1"/>
  <c r="M315" i="12"/>
  <c r="P315" i="12" s="1"/>
  <c r="M132" i="12"/>
  <c r="P132" i="12" s="1"/>
  <c r="K559" i="12"/>
  <c r="I543" i="12"/>
  <c r="K543" i="12" s="1"/>
  <c r="M421" i="12"/>
  <c r="M422" i="12"/>
  <c r="P422" i="12" s="1"/>
  <c r="K434" i="12"/>
  <c r="I418" i="12"/>
  <c r="K418" i="12" s="1"/>
  <c r="O404" i="12"/>
  <c r="L402" i="12"/>
  <c r="O402" i="12" s="1"/>
  <c r="P261" i="11"/>
  <c r="P167" i="11"/>
  <c r="P43" i="12"/>
  <c r="O348" i="11"/>
  <c r="K131" i="5"/>
  <c r="L402" i="11"/>
  <c r="O402" i="11" s="1"/>
  <c r="O23" i="11"/>
  <c r="N165" i="11"/>
  <c r="P165" i="11" s="1"/>
  <c r="P23" i="11"/>
  <c r="O167" i="12"/>
  <c r="M20" i="12"/>
  <c r="M18" i="12" s="1"/>
  <c r="L685" i="10"/>
  <c r="O685" i="10" s="1"/>
  <c r="P264" i="12"/>
  <c r="M66" i="12"/>
  <c r="P66" i="12" s="1"/>
  <c r="O165" i="12"/>
  <c r="P424" i="11"/>
  <c r="L13" i="11"/>
  <c r="L11" i="11" s="1"/>
  <c r="L41" i="12"/>
  <c r="O41" i="12" s="1"/>
  <c r="L181" i="12"/>
  <c r="O181" i="12" s="1"/>
  <c r="O183" i="12"/>
  <c r="P317" i="10"/>
  <c r="P183" i="11"/>
  <c r="M345" i="12"/>
  <c r="P345" i="12" s="1"/>
  <c r="K76" i="12"/>
  <c r="I64" i="12"/>
  <c r="K64" i="12" s="1"/>
  <c r="K417" i="10"/>
  <c r="P330" i="12"/>
  <c r="M24" i="12"/>
  <c r="L298" i="11"/>
  <c r="O298" i="11" s="1"/>
  <c r="M469" i="12"/>
  <c r="P472" i="12"/>
  <c r="M470" i="12"/>
  <c r="P470" i="12" s="1"/>
  <c r="P181" i="12"/>
  <c r="O183" i="10"/>
  <c r="M422" i="11"/>
  <c r="P422" i="11" s="1"/>
  <c r="N414" i="12"/>
  <c r="L345" i="12"/>
  <c r="O345" i="12" s="1"/>
  <c r="O347" i="12"/>
  <c r="P15" i="12"/>
  <c r="M14" i="12"/>
  <c r="O446" i="12"/>
  <c r="L444" i="12"/>
  <c r="O419" i="12"/>
  <c r="L9" i="12"/>
  <c r="O12" i="12"/>
  <c r="O29" i="12"/>
  <c r="O68" i="12"/>
  <c r="L66" i="12"/>
  <c r="O66" i="12" s="1"/>
  <c r="P549" i="7"/>
  <c r="O53" i="8"/>
  <c r="M547" i="9"/>
  <c r="P547" i="9" s="1"/>
  <c r="L66" i="10"/>
  <c r="O66" i="10" s="1"/>
  <c r="L88" i="11"/>
  <c r="O88" i="11" s="1"/>
  <c r="P404" i="12"/>
  <c r="M402" i="12"/>
  <c r="P402" i="12" s="1"/>
  <c r="M389" i="12"/>
  <c r="P389" i="12" s="1"/>
  <c r="P391" i="12"/>
  <c r="O279" i="12"/>
  <c r="L277" i="12"/>
  <c r="O277" i="12" s="1"/>
  <c r="O26" i="12"/>
  <c r="L16" i="12"/>
  <c r="L14" i="12" s="1"/>
  <c r="O657" i="9"/>
  <c r="M298" i="10"/>
  <c r="P298" i="10" s="1"/>
  <c r="K433" i="10"/>
  <c r="K364" i="10"/>
  <c r="M547" i="12"/>
  <c r="P547" i="12" s="1"/>
  <c r="P549" i="12"/>
  <c r="M546" i="12"/>
  <c r="P19" i="12"/>
  <c r="P91" i="12"/>
  <c r="P29" i="12"/>
  <c r="P121" i="10"/>
  <c r="O687" i="12"/>
  <c r="L685" i="12"/>
  <c r="O685" i="12" s="1"/>
  <c r="L328" i="12"/>
  <c r="O328" i="12" s="1"/>
  <c r="O330" i="12"/>
  <c r="N16" i="12"/>
  <c r="P26" i="12"/>
  <c r="O15" i="12"/>
  <c r="O238" i="12"/>
  <c r="L227" i="12"/>
  <c r="O19" i="12"/>
  <c r="L30" i="12"/>
  <c r="O30" i="12" s="1"/>
  <c r="O33" i="12"/>
  <c r="N20" i="12"/>
  <c r="I417" i="12"/>
  <c r="K417" i="12" s="1"/>
  <c r="K433" i="12"/>
  <c r="N37" i="12"/>
  <c r="O422" i="12"/>
  <c r="P631" i="11"/>
  <c r="P88" i="11"/>
  <c r="P261" i="10"/>
  <c r="L544" i="12"/>
  <c r="O544" i="12" s="1"/>
  <c r="L523" i="12"/>
  <c r="O523" i="12" s="1"/>
  <c r="L467" i="12"/>
  <c r="O467" i="12" s="1"/>
  <c r="N24" i="12"/>
  <c r="O24" i="12" s="1"/>
  <c r="M632" i="12"/>
  <c r="P632" i="12" s="1"/>
  <c r="P634" i="12"/>
  <c r="M631" i="12"/>
  <c r="L53" i="12"/>
  <c r="O53" i="12" s="1"/>
  <c r="P449" i="12"/>
  <c r="M447" i="12"/>
  <c r="P447" i="12" s="1"/>
  <c r="M33" i="12"/>
  <c r="M446" i="12"/>
  <c r="P90" i="12"/>
  <c r="M88" i="12"/>
  <c r="P88" i="12" s="1"/>
  <c r="O23" i="12"/>
  <c r="L13" i="12"/>
  <c r="L20" i="12"/>
  <c r="O20" i="12" s="1"/>
  <c r="M9" i="12"/>
  <c r="O184" i="12"/>
  <c r="I131" i="10"/>
  <c r="K131" i="10" s="1"/>
  <c r="P300" i="12"/>
  <c r="M298" i="12"/>
  <c r="P298" i="12" s="1"/>
  <c r="M261" i="12"/>
  <c r="P261" i="12" s="1"/>
  <c r="O447" i="12"/>
  <c r="K237" i="12"/>
  <c r="I226" i="12"/>
  <c r="M328" i="12"/>
  <c r="P328" i="12" s="1"/>
  <c r="O43" i="10"/>
  <c r="P90" i="11"/>
  <c r="M402" i="10"/>
  <c r="P402" i="10" s="1"/>
  <c r="O331" i="10"/>
  <c r="L277" i="11"/>
  <c r="O277" i="11" s="1"/>
  <c r="L34" i="11"/>
  <c r="O34" i="11" s="1"/>
  <c r="L30" i="11"/>
  <c r="O30" i="11" s="1"/>
  <c r="O33" i="9"/>
  <c r="P263" i="11"/>
  <c r="O55" i="11"/>
  <c r="O53" i="11"/>
  <c r="K174" i="11"/>
  <c r="I164" i="11"/>
  <c r="K164" i="11" s="1"/>
  <c r="M66" i="8"/>
  <c r="P66" i="8" s="1"/>
  <c r="L20" i="10"/>
  <c r="L18" i="10" s="1"/>
  <c r="O165" i="10"/>
  <c r="O43" i="9"/>
  <c r="O687" i="11"/>
  <c r="L685" i="11"/>
  <c r="O685" i="11" s="1"/>
  <c r="M298" i="11"/>
  <c r="P298" i="11" s="1"/>
  <c r="P121" i="11"/>
  <c r="M119" i="11"/>
  <c r="P119" i="11" s="1"/>
  <c r="O345" i="8"/>
  <c r="M66" i="10"/>
  <c r="P66" i="10" s="1"/>
  <c r="O631" i="10"/>
  <c r="O43" i="8"/>
  <c r="L315" i="10"/>
  <c r="O315" i="10" s="1"/>
  <c r="P263" i="7"/>
  <c r="L132" i="11"/>
  <c r="O132" i="11" s="1"/>
  <c r="L227" i="11"/>
  <c r="P55" i="10"/>
  <c r="O544" i="10"/>
  <c r="L149" i="10"/>
  <c r="O149" i="10" s="1"/>
  <c r="O391" i="10"/>
  <c r="P181" i="11"/>
  <c r="L181" i="11"/>
  <c r="O181" i="11" s="1"/>
  <c r="P44" i="11"/>
  <c r="P632" i="11"/>
  <c r="O632" i="11"/>
  <c r="M419" i="11"/>
  <c r="P421" i="11"/>
  <c r="M469" i="11"/>
  <c r="P472" i="11"/>
  <c r="M470" i="11"/>
  <c r="P470" i="11" s="1"/>
  <c r="M33" i="11"/>
  <c r="P15" i="11"/>
  <c r="P68" i="9"/>
  <c r="P331" i="10"/>
  <c r="O547" i="11"/>
  <c r="P547" i="11"/>
  <c r="P347" i="11"/>
  <c r="M345" i="11"/>
  <c r="P345" i="11" s="1"/>
  <c r="O121" i="11"/>
  <c r="L119" i="11"/>
  <c r="O119" i="11" s="1"/>
  <c r="I226" i="11"/>
  <c r="K237" i="11"/>
  <c r="K143" i="11"/>
  <c r="I131" i="11"/>
  <c r="K131" i="11" s="1"/>
  <c r="I64" i="11"/>
  <c r="K64" i="11" s="1"/>
  <c r="K76" i="11"/>
  <c r="L402" i="10"/>
  <c r="O402" i="10" s="1"/>
  <c r="L444" i="10"/>
  <c r="O444" i="10" s="1"/>
  <c r="L41" i="10"/>
  <c r="P90" i="10"/>
  <c r="O90" i="10"/>
  <c r="P330" i="11"/>
  <c r="M328" i="11"/>
  <c r="P328" i="11" s="1"/>
  <c r="N13" i="11"/>
  <c r="N20" i="11"/>
  <c r="N18" i="11" s="1"/>
  <c r="N21" i="11"/>
  <c r="P21" i="11" s="1"/>
  <c r="I417" i="11"/>
  <c r="K417" i="11" s="1"/>
  <c r="K433" i="11"/>
  <c r="O629" i="11"/>
  <c r="K77" i="11"/>
  <c r="I65" i="11"/>
  <c r="K65" i="11" s="1"/>
  <c r="L345" i="11"/>
  <c r="O345" i="11" s="1"/>
  <c r="O347" i="11"/>
  <c r="M66" i="11"/>
  <c r="P66" i="11" s="1"/>
  <c r="L66" i="11"/>
  <c r="O66" i="11" s="1"/>
  <c r="M9" i="11"/>
  <c r="O167" i="9"/>
  <c r="M24" i="10"/>
  <c r="O345" i="10"/>
  <c r="O348" i="10"/>
  <c r="P545" i="11"/>
  <c r="M544" i="11"/>
  <c r="P544" i="11" s="1"/>
  <c r="M389" i="11"/>
  <c r="P389" i="11" s="1"/>
  <c r="P391" i="11"/>
  <c r="L467" i="11"/>
  <c r="O467" i="11" s="1"/>
  <c r="N414" i="11"/>
  <c r="M132" i="11"/>
  <c r="P132" i="11" s="1"/>
  <c r="P134" i="11"/>
  <c r="L165" i="11"/>
  <c r="O12" i="11"/>
  <c r="L9" i="11"/>
  <c r="M655" i="11"/>
  <c r="P655" i="11" s="1"/>
  <c r="P657" i="11"/>
  <c r="O15" i="11"/>
  <c r="K559" i="11"/>
  <c r="I543" i="11"/>
  <c r="K543" i="11" s="1"/>
  <c r="O446" i="11"/>
  <c r="L444" i="11"/>
  <c r="O444" i="11" s="1"/>
  <c r="P279" i="11"/>
  <c r="M277" i="11"/>
  <c r="P277" i="11" s="1"/>
  <c r="M315" i="11"/>
  <c r="P315" i="11" s="1"/>
  <c r="L41" i="11"/>
  <c r="O43" i="11"/>
  <c r="N16" i="11"/>
  <c r="N14" i="11" s="1"/>
  <c r="N24" i="11"/>
  <c r="O24" i="11" s="1"/>
  <c r="M24" i="11"/>
  <c r="P26" i="11"/>
  <c r="M16" i="11"/>
  <c r="O26" i="11"/>
  <c r="L16" i="11"/>
  <c r="L20" i="11"/>
  <c r="M53" i="11"/>
  <c r="P53" i="11" s="1"/>
  <c r="P55" i="11"/>
  <c r="L66" i="8"/>
  <c r="O66" i="8" s="1"/>
  <c r="I65" i="10"/>
  <c r="K65" i="10" s="1"/>
  <c r="L13" i="10"/>
  <c r="L11" i="10" s="1"/>
  <c r="O544" i="11"/>
  <c r="L328" i="11"/>
  <c r="O328" i="11" s="1"/>
  <c r="O330" i="11"/>
  <c r="N28" i="11"/>
  <c r="M20" i="11"/>
  <c r="O91" i="9"/>
  <c r="K364" i="9"/>
  <c r="P167" i="10"/>
  <c r="O23" i="10"/>
  <c r="O525" i="11"/>
  <c r="L523" i="11"/>
  <c r="O523" i="11" s="1"/>
  <c r="O29" i="11"/>
  <c r="L315" i="11"/>
  <c r="O315" i="11" s="1"/>
  <c r="P29" i="11"/>
  <c r="M546" i="7"/>
  <c r="P546" i="7" s="1"/>
  <c r="O330" i="10"/>
  <c r="O348" i="9"/>
  <c r="L655" i="10"/>
  <c r="O655" i="10" s="1"/>
  <c r="L132" i="10"/>
  <c r="O132" i="10" s="1"/>
  <c r="P90" i="8"/>
  <c r="N132" i="9"/>
  <c r="O132" i="9" s="1"/>
  <c r="M277" i="9"/>
  <c r="P277" i="9" s="1"/>
  <c r="O134" i="9"/>
  <c r="K131" i="9"/>
  <c r="L277" i="10"/>
  <c r="O277" i="10" s="1"/>
  <c r="O167" i="10"/>
  <c r="L277" i="8"/>
  <c r="O277" i="8" s="1"/>
  <c r="O181" i="8"/>
  <c r="L20" i="8"/>
  <c r="L18" i="8" s="1"/>
  <c r="O261" i="10"/>
  <c r="L30" i="10"/>
  <c r="O30" i="10" s="1"/>
  <c r="N328" i="10"/>
  <c r="O328" i="10" s="1"/>
  <c r="L34" i="10"/>
  <c r="O34" i="10" s="1"/>
  <c r="N53" i="10"/>
  <c r="P53" i="10" s="1"/>
  <c r="O238" i="10"/>
  <c r="L227" i="10"/>
  <c r="K76" i="8"/>
  <c r="L16" i="9"/>
  <c r="L14" i="9" s="1"/>
  <c r="P56" i="9"/>
  <c r="L30" i="9"/>
  <c r="O30" i="9" s="1"/>
  <c r="P263" i="10"/>
  <c r="L16" i="10"/>
  <c r="L14" i="10" s="1"/>
  <c r="K174" i="10"/>
  <c r="I164" i="10"/>
  <c r="K164" i="10" s="1"/>
  <c r="M546" i="8"/>
  <c r="P546" i="8" s="1"/>
  <c r="O26" i="10"/>
  <c r="P391" i="10"/>
  <c r="M389" i="10"/>
  <c r="P389" i="10" s="1"/>
  <c r="P549" i="8"/>
  <c r="P88" i="10"/>
  <c r="P134" i="10"/>
  <c r="P424" i="10"/>
  <c r="M422" i="10"/>
  <c r="P422" i="10" s="1"/>
  <c r="M421" i="10"/>
  <c r="M315" i="5"/>
  <c r="P315" i="5" s="1"/>
  <c r="L41" i="8"/>
  <c r="O41" i="8" s="1"/>
  <c r="O331" i="9"/>
  <c r="M149" i="9"/>
  <c r="P149" i="9" s="1"/>
  <c r="O263" i="10"/>
  <c r="M165" i="10"/>
  <c r="P165" i="10" s="1"/>
  <c r="L31" i="10"/>
  <c r="O31" i="10" s="1"/>
  <c r="O33" i="10"/>
  <c r="M546" i="10"/>
  <c r="M544" i="10" s="1"/>
  <c r="P544" i="10" s="1"/>
  <c r="M547" i="10"/>
  <c r="P547" i="10" s="1"/>
  <c r="M9" i="10"/>
  <c r="P12" i="10"/>
  <c r="P29" i="10"/>
  <c r="O68" i="9"/>
  <c r="P472" i="10"/>
  <c r="M470" i="10"/>
  <c r="P470" i="10" s="1"/>
  <c r="M33" i="10"/>
  <c r="M13" i="10" s="1"/>
  <c r="M469" i="10"/>
  <c r="P330" i="10"/>
  <c r="O347" i="10"/>
  <c r="P347" i="10"/>
  <c r="O91" i="10"/>
  <c r="N21" i="10"/>
  <c r="P21" i="10" s="1"/>
  <c r="N13" i="10"/>
  <c r="N20" i="10"/>
  <c r="N18" i="10" s="1"/>
  <c r="N24" i="10"/>
  <c r="O24" i="10" s="1"/>
  <c r="O687" i="8"/>
  <c r="L419" i="9"/>
  <c r="O419" i="9" s="1"/>
  <c r="I226" i="10"/>
  <c r="K248" i="10"/>
  <c r="L181" i="10"/>
  <c r="O181" i="10" s="1"/>
  <c r="O19" i="10"/>
  <c r="O317" i="8"/>
  <c r="L402" i="9"/>
  <c r="O402" i="9" s="1"/>
  <c r="P53" i="9"/>
  <c r="N66" i="9"/>
  <c r="O66" i="9" s="1"/>
  <c r="M181" i="10"/>
  <c r="P181" i="10" s="1"/>
  <c r="O88" i="10"/>
  <c r="P16" i="10"/>
  <c r="P264" i="9"/>
  <c r="L53" i="10"/>
  <c r="O55" i="10"/>
  <c r="P15" i="10"/>
  <c r="M14" i="10"/>
  <c r="P26" i="10"/>
  <c r="M315" i="7"/>
  <c r="P315" i="7" s="1"/>
  <c r="M149" i="7"/>
  <c r="P149" i="7" s="1"/>
  <c r="P345" i="10"/>
  <c r="L9" i="10"/>
  <c r="O12" i="10"/>
  <c r="P19" i="10"/>
  <c r="O546" i="10"/>
  <c r="K76" i="10"/>
  <c r="I64" i="10"/>
  <c r="K64" i="10" s="1"/>
  <c r="P263" i="9"/>
  <c r="O345" i="9"/>
  <c r="K143" i="9"/>
  <c r="I418" i="10"/>
  <c r="K418" i="10" s="1"/>
  <c r="K434" i="10"/>
  <c r="N14" i="10"/>
  <c r="N9" i="10"/>
  <c r="P23" i="10"/>
  <c r="M20" i="10"/>
  <c r="L467" i="8"/>
  <c r="O467" i="8" s="1"/>
  <c r="K433" i="8"/>
  <c r="P331" i="9"/>
  <c r="I131" i="7"/>
  <c r="K131" i="7" s="1"/>
  <c r="L34" i="5"/>
  <c r="O34" i="5" s="1"/>
  <c r="P330" i="8"/>
  <c r="L544" i="9"/>
  <c r="O544" i="9" s="1"/>
  <c r="L31" i="8"/>
  <c r="O31" i="8" s="1"/>
  <c r="P151" i="8"/>
  <c r="M402" i="7"/>
  <c r="P402" i="7" s="1"/>
  <c r="O330" i="9"/>
  <c r="O328" i="9"/>
  <c r="O347" i="9"/>
  <c r="P121" i="7"/>
  <c r="M165" i="9"/>
  <c r="P165" i="9" s="1"/>
  <c r="O263" i="9"/>
  <c r="O347" i="4"/>
  <c r="M20" i="5"/>
  <c r="M18" i="5" s="1"/>
  <c r="P330" i="6"/>
  <c r="L315" i="9"/>
  <c r="O315" i="9" s="1"/>
  <c r="O298" i="9"/>
  <c r="M66" i="9"/>
  <c r="N16" i="9"/>
  <c r="N14" i="9" s="1"/>
  <c r="N24" i="9"/>
  <c r="O24" i="9" s="1"/>
  <c r="L389" i="8"/>
  <c r="O389" i="8" s="1"/>
  <c r="O90" i="8"/>
  <c r="P424" i="9"/>
  <c r="M422" i="9"/>
  <c r="P422" i="9" s="1"/>
  <c r="M421" i="9"/>
  <c r="P90" i="9"/>
  <c r="N88" i="9"/>
  <c r="P88" i="9" s="1"/>
  <c r="I164" i="8"/>
  <c r="K164" i="8" s="1"/>
  <c r="K364" i="8"/>
  <c r="M544" i="9"/>
  <c r="P544" i="9" s="1"/>
  <c r="O26" i="9"/>
  <c r="O544" i="6"/>
  <c r="M315" i="8"/>
  <c r="P315" i="8" s="1"/>
  <c r="O300" i="9"/>
  <c r="L523" i="9"/>
  <c r="O523" i="9" s="1"/>
  <c r="M119" i="9"/>
  <c r="P119" i="9" s="1"/>
  <c r="I543" i="9"/>
  <c r="K543" i="9" s="1"/>
  <c r="K559" i="9"/>
  <c r="P549" i="6"/>
  <c r="I65" i="7"/>
  <c r="K65" i="7" s="1"/>
  <c r="L298" i="7"/>
  <c r="O298" i="7" s="1"/>
  <c r="P165" i="8"/>
  <c r="N261" i="9"/>
  <c r="P261" i="9" s="1"/>
  <c r="L389" i="9"/>
  <c r="O389" i="9" s="1"/>
  <c r="K174" i="7"/>
  <c r="O167" i="8"/>
  <c r="I65" i="8"/>
  <c r="K65" i="8" s="1"/>
  <c r="O151" i="9"/>
  <c r="L149" i="9"/>
  <c r="O149" i="9" s="1"/>
  <c r="K174" i="9"/>
  <c r="I164" i="9"/>
  <c r="K164" i="9" s="1"/>
  <c r="M546" i="6"/>
  <c r="M544" i="6" s="1"/>
  <c r="P544" i="6" s="1"/>
  <c r="O446" i="9"/>
  <c r="L444" i="9"/>
  <c r="O444" i="9" s="1"/>
  <c r="P9" i="9"/>
  <c r="P391" i="9"/>
  <c r="M389" i="9"/>
  <c r="P389" i="9" s="1"/>
  <c r="L261" i="9"/>
  <c r="L119" i="7"/>
  <c r="O119" i="7" s="1"/>
  <c r="M402" i="9"/>
  <c r="P402" i="9" s="1"/>
  <c r="P404" i="9"/>
  <c r="M20" i="9"/>
  <c r="P23" i="9"/>
  <c r="M21" i="9"/>
  <c r="O181" i="9"/>
  <c r="I64" i="9"/>
  <c r="K64" i="9" s="1"/>
  <c r="K76" i="9"/>
  <c r="N20" i="9"/>
  <c r="N18" i="9" s="1"/>
  <c r="N13" i="9"/>
  <c r="O56" i="9"/>
  <c r="O41" i="9"/>
  <c r="O23" i="9"/>
  <c r="L13" i="9"/>
  <c r="L20" i="9"/>
  <c r="O631" i="4"/>
  <c r="M149" i="5"/>
  <c r="P149" i="5" s="1"/>
  <c r="K559" i="6"/>
  <c r="P91" i="7"/>
  <c r="O55" i="8"/>
  <c r="O328" i="8"/>
  <c r="K237" i="9"/>
  <c r="I226" i="9"/>
  <c r="O279" i="9"/>
  <c r="L277" i="9"/>
  <c r="O277" i="9" s="1"/>
  <c r="P43" i="9"/>
  <c r="M41" i="9"/>
  <c r="P657" i="9"/>
  <c r="M655" i="9"/>
  <c r="P655" i="9" s="1"/>
  <c r="M470" i="9"/>
  <c r="P470" i="9" s="1"/>
  <c r="P472" i="9"/>
  <c r="M469" i="9"/>
  <c r="O90" i="9"/>
  <c r="L88" i="9"/>
  <c r="L227" i="9"/>
  <c r="P404" i="8"/>
  <c r="M402" i="8"/>
  <c r="P402" i="8" s="1"/>
  <c r="O55" i="9"/>
  <c r="L53" i="9"/>
  <c r="O53" i="9" s="1"/>
  <c r="K434" i="9"/>
  <c r="I418" i="9"/>
  <c r="K418" i="9" s="1"/>
  <c r="L467" i="9"/>
  <c r="O467" i="9" s="1"/>
  <c r="O469" i="9"/>
  <c r="O264" i="6"/>
  <c r="K364" i="7"/>
  <c r="M389" i="8"/>
  <c r="P389" i="8" s="1"/>
  <c r="O88" i="8"/>
  <c r="O331" i="8"/>
  <c r="P181" i="9"/>
  <c r="P300" i="9"/>
  <c r="M298" i="9"/>
  <c r="P298" i="9" s="1"/>
  <c r="M315" i="9"/>
  <c r="P315" i="9" s="1"/>
  <c r="P317" i="9"/>
  <c r="K77" i="9"/>
  <c r="I65" i="9"/>
  <c r="K65" i="9" s="1"/>
  <c r="M328" i="9"/>
  <c r="P328" i="9" s="1"/>
  <c r="P330" i="9"/>
  <c r="P261" i="5"/>
  <c r="O687" i="7"/>
  <c r="L786" i="7"/>
  <c r="O786" i="7" s="1"/>
  <c r="P134" i="8"/>
  <c r="I543" i="8"/>
  <c r="K543" i="8" s="1"/>
  <c r="O422" i="9"/>
  <c r="M16" i="9"/>
  <c r="P26" i="9"/>
  <c r="K433" i="9"/>
  <c r="M24" i="9"/>
  <c r="O183" i="9"/>
  <c r="L21" i="9"/>
  <c r="P183" i="9"/>
  <c r="O184" i="8"/>
  <c r="P347" i="9"/>
  <c r="M345" i="9"/>
  <c r="P345" i="9" s="1"/>
  <c r="P449" i="9"/>
  <c r="M447" i="9"/>
  <c r="P447" i="9" s="1"/>
  <c r="M446" i="9"/>
  <c r="M33" i="9"/>
  <c r="M13" i="9" s="1"/>
  <c r="P29" i="9"/>
  <c r="N21" i="9"/>
  <c r="O9" i="9"/>
  <c r="O121" i="9"/>
  <c r="L119" i="9"/>
  <c r="O119" i="9" s="1"/>
  <c r="P55" i="9"/>
  <c r="O330" i="8"/>
  <c r="P55" i="8"/>
  <c r="M53" i="8"/>
  <c r="P53" i="8" s="1"/>
  <c r="L30" i="8"/>
  <c r="O30" i="8" s="1"/>
  <c r="O345" i="7"/>
  <c r="M298" i="7"/>
  <c r="P298" i="7" s="1"/>
  <c r="O263" i="8"/>
  <c r="P263" i="8"/>
  <c r="K76" i="6"/>
  <c r="P261" i="8"/>
  <c r="M277" i="8"/>
  <c r="P277" i="8" s="1"/>
  <c r="O348" i="8"/>
  <c r="M298" i="8"/>
  <c r="P298" i="8" s="1"/>
  <c r="O261" i="8"/>
  <c r="L444" i="6"/>
  <c r="O444" i="6" s="1"/>
  <c r="P183" i="6"/>
  <c r="P88" i="7"/>
  <c r="L523" i="8"/>
  <c r="O523" i="8" s="1"/>
  <c r="P549" i="4"/>
  <c r="L30" i="5"/>
  <c r="L28" i="5" s="1"/>
  <c r="O41" i="7"/>
  <c r="P167" i="7"/>
  <c r="L298" i="8"/>
  <c r="O298" i="8" s="1"/>
  <c r="M88" i="8"/>
  <c r="P88" i="8" s="1"/>
  <c r="K417" i="8"/>
  <c r="P183" i="8"/>
  <c r="O404" i="8"/>
  <c r="L402" i="8"/>
  <c r="O402" i="8" s="1"/>
  <c r="O249" i="8"/>
  <c r="L227" i="8"/>
  <c r="M446" i="8"/>
  <c r="M444" i="8" s="1"/>
  <c r="P444" i="8" s="1"/>
  <c r="M447" i="8"/>
  <c r="P447" i="8" s="1"/>
  <c r="L685" i="4"/>
  <c r="O685" i="4" s="1"/>
  <c r="K364" i="5"/>
  <c r="O688" i="7"/>
  <c r="M24" i="7"/>
  <c r="P184" i="7"/>
  <c r="O347" i="8"/>
  <c r="L34" i="8"/>
  <c r="O34" i="8" s="1"/>
  <c r="M547" i="4"/>
  <c r="P547" i="4" s="1"/>
  <c r="P43" i="8"/>
  <c r="M41" i="8"/>
  <c r="P41" i="8" s="1"/>
  <c r="P90" i="7"/>
  <c r="L419" i="8"/>
  <c r="O419" i="8" s="1"/>
  <c r="N24" i="8"/>
  <c r="O151" i="8"/>
  <c r="L149" i="8"/>
  <c r="O149" i="8" s="1"/>
  <c r="P264" i="5"/>
  <c r="P43" i="5"/>
  <c r="O261" i="5"/>
  <c r="P263" i="5"/>
  <c r="O168" i="7"/>
  <c r="L66" i="7"/>
  <c r="O66" i="7" s="1"/>
  <c r="P184" i="8"/>
  <c r="L13" i="8"/>
  <c r="L11" i="8" s="1"/>
  <c r="L21" i="8"/>
  <c r="O43" i="6"/>
  <c r="O121" i="8"/>
  <c r="L119" i="8"/>
  <c r="O119" i="8" s="1"/>
  <c r="O444" i="8"/>
  <c r="N414" i="8"/>
  <c r="N37" i="8"/>
  <c r="O43" i="3"/>
  <c r="O183" i="6"/>
  <c r="P347" i="7"/>
  <c r="O347" i="7"/>
  <c r="P29" i="8"/>
  <c r="M469" i="8"/>
  <c r="P472" i="8"/>
  <c r="M470" i="8"/>
  <c r="P470" i="8" s="1"/>
  <c r="N13" i="8"/>
  <c r="N20" i="8"/>
  <c r="N18" i="8" s="1"/>
  <c r="N21" i="8"/>
  <c r="O29" i="8"/>
  <c r="O23" i="8"/>
  <c r="P55" i="6"/>
  <c r="P181" i="8"/>
  <c r="P23" i="8"/>
  <c r="M20" i="8"/>
  <c r="M21" i="8"/>
  <c r="O183" i="8"/>
  <c r="P26" i="8"/>
  <c r="M16" i="8"/>
  <c r="M24" i="8"/>
  <c r="K434" i="8"/>
  <c r="I418" i="8"/>
  <c r="K418" i="8" s="1"/>
  <c r="L165" i="8"/>
  <c r="O165" i="8" s="1"/>
  <c r="P9" i="8"/>
  <c r="O446" i="8"/>
  <c r="K131" i="3"/>
  <c r="P134" i="4"/>
  <c r="P167" i="8"/>
  <c r="L402" i="7"/>
  <c r="O402" i="7" s="1"/>
  <c r="P424" i="8"/>
  <c r="M422" i="8"/>
  <c r="P422" i="8" s="1"/>
  <c r="M421" i="8"/>
  <c r="M33" i="8"/>
  <c r="M13" i="8" s="1"/>
  <c r="P345" i="8"/>
  <c r="P347" i="8"/>
  <c r="L24" i="8"/>
  <c r="O26" i="8"/>
  <c r="L16" i="8"/>
  <c r="M402" i="5"/>
  <c r="P402" i="5" s="1"/>
  <c r="O167" i="6"/>
  <c r="M328" i="8"/>
  <c r="P328" i="8" s="1"/>
  <c r="K226" i="8"/>
  <c r="I180" i="8"/>
  <c r="K180" i="8" s="1"/>
  <c r="O9" i="8"/>
  <c r="P44" i="8"/>
  <c r="P449" i="3"/>
  <c r="O184" i="7"/>
  <c r="M687" i="8"/>
  <c r="P690" i="8"/>
  <c r="M688" i="8"/>
  <c r="P688" i="8" s="1"/>
  <c r="P264" i="6"/>
  <c r="M20" i="7"/>
  <c r="M18" i="7" s="1"/>
  <c r="O91" i="7"/>
  <c r="O26" i="7"/>
  <c r="O53" i="5"/>
  <c r="M389" i="6"/>
  <c r="P389" i="6" s="1"/>
  <c r="O317" i="5"/>
  <c r="O43" i="2"/>
  <c r="O183" i="4"/>
  <c r="L149" i="6"/>
  <c r="O149" i="6" s="1"/>
  <c r="L132" i="6"/>
  <c r="O132" i="6" s="1"/>
  <c r="L389" i="7"/>
  <c r="O389" i="7" s="1"/>
  <c r="P168" i="7"/>
  <c r="L16" i="6"/>
  <c r="L14" i="6" s="1"/>
  <c r="L132" i="7"/>
  <c r="O132" i="7" s="1"/>
  <c r="P528" i="3"/>
  <c r="O181" i="5"/>
  <c r="O26" i="6"/>
  <c r="O181" i="6"/>
  <c r="L149" i="7"/>
  <c r="O149" i="7" s="1"/>
  <c r="M389" i="7"/>
  <c r="P389" i="7" s="1"/>
  <c r="P391" i="7"/>
  <c r="L402" i="3"/>
  <c r="O402" i="3" s="1"/>
  <c r="P328" i="7"/>
  <c r="O631" i="7"/>
  <c r="L629" i="7"/>
  <c r="O629" i="7" s="1"/>
  <c r="P317" i="1"/>
  <c r="O330" i="3"/>
  <c r="O165" i="6"/>
  <c r="L277" i="7"/>
  <c r="O277" i="7" s="1"/>
  <c r="L523" i="7"/>
  <c r="O523" i="7" s="1"/>
  <c r="P330" i="7"/>
  <c r="L315" i="6"/>
  <c r="O315" i="6" s="1"/>
  <c r="P298" i="5"/>
  <c r="M66" i="6"/>
  <c r="P66" i="6" s="1"/>
  <c r="M132" i="7"/>
  <c r="P132" i="7" s="1"/>
  <c r="L20" i="7"/>
  <c r="L18" i="7" s="1"/>
  <c r="L34" i="7"/>
  <c r="O34" i="7" s="1"/>
  <c r="O277" i="1"/>
  <c r="P328" i="5"/>
  <c r="M181" i="7"/>
  <c r="P181" i="7" s="1"/>
  <c r="P183" i="7"/>
  <c r="P26" i="7"/>
  <c r="M165" i="7"/>
  <c r="P165" i="7" s="1"/>
  <c r="O68" i="6"/>
  <c r="O788" i="6"/>
  <c r="O264" i="7"/>
  <c r="O55" i="7"/>
  <c r="P525" i="3"/>
  <c r="K434" i="5"/>
  <c r="N41" i="6"/>
  <c r="O41" i="6" s="1"/>
  <c r="P279" i="7"/>
  <c r="M277" i="7"/>
  <c r="P277" i="7" s="1"/>
  <c r="M657" i="7"/>
  <c r="M658" i="7"/>
  <c r="P658" i="7" s="1"/>
  <c r="P660" i="7"/>
  <c r="O444" i="7"/>
  <c r="O249" i="7"/>
  <c r="L227" i="7"/>
  <c r="I64" i="7"/>
  <c r="K64" i="7" s="1"/>
  <c r="K76" i="7"/>
  <c r="N13" i="7"/>
  <c r="N20" i="7"/>
  <c r="N21" i="7"/>
  <c r="O21" i="7" s="1"/>
  <c r="O53" i="7"/>
  <c r="P23" i="7"/>
  <c r="M277" i="4"/>
  <c r="P277" i="4" s="1"/>
  <c r="I226" i="5"/>
  <c r="K226" i="5" s="1"/>
  <c r="I65" i="6"/>
  <c r="K65" i="6" s="1"/>
  <c r="M469" i="7"/>
  <c r="P472" i="7"/>
  <c r="M470" i="7"/>
  <c r="P470" i="7" s="1"/>
  <c r="O263" i="7"/>
  <c r="L261" i="7"/>
  <c r="L328" i="7"/>
  <c r="O328" i="7" s="1"/>
  <c r="O330" i="7"/>
  <c r="O446" i="7"/>
  <c r="O15" i="7"/>
  <c r="O43" i="7"/>
  <c r="K237" i="7"/>
  <c r="I226" i="7"/>
  <c r="P330" i="5"/>
  <c r="O546" i="6"/>
  <c r="M119" i="6"/>
  <c r="P119" i="6" s="1"/>
  <c r="P181" i="6"/>
  <c r="P167" i="6"/>
  <c r="M277" i="6"/>
  <c r="P277" i="6" s="1"/>
  <c r="K559" i="7"/>
  <c r="I543" i="7"/>
  <c r="K543" i="7" s="1"/>
  <c r="L655" i="7"/>
  <c r="O655" i="7" s="1"/>
  <c r="O657" i="7"/>
  <c r="O317" i="7"/>
  <c r="L315" i="7"/>
  <c r="O315" i="7" s="1"/>
  <c r="N261" i="7"/>
  <c r="P261" i="7" s="1"/>
  <c r="O23" i="7"/>
  <c r="O404" i="5"/>
  <c r="L467" i="7"/>
  <c r="O467" i="7" s="1"/>
  <c r="O469" i="7"/>
  <c r="N685" i="7"/>
  <c r="O685" i="7" s="1"/>
  <c r="P687" i="7"/>
  <c r="P449" i="7"/>
  <c r="M447" i="7"/>
  <c r="P447" i="7" s="1"/>
  <c r="M446" i="7"/>
  <c r="L419" i="7"/>
  <c r="O90" i="7"/>
  <c r="L88" i="7"/>
  <c r="O88" i="7" s="1"/>
  <c r="K434" i="7"/>
  <c r="I418" i="7"/>
  <c r="K418" i="7" s="1"/>
  <c r="L16" i="7"/>
  <c r="O16" i="7" s="1"/>
  <c r="O183" i="7"/>
  <c r="L181" i="7"/>
  <c r="O181" i="7" s="1"/>
  <c r="P16" i="7"/>
  <c r="O90" i="5"/>
  <c r="P545" i="7"/>
  <c r="O167" i="7"/>
  <c r="L165" i="7"/>
  <c r="O165" i="7" s="1"/>
  <c r="N31" i="7"/>
  <c r="O31" i="7" s="1"/>
  <c r="N30" i="7"/>
  <c r="N28" i="7" s="1"/>
  <c r="P68" i="7"/>
  <c r="M66" i="7"/>
  <c r="P66" i="7" s="1"/>
  <c r="P12" i="7"/>
  <c r="M9" i="7"/>
  <c r="L655" i="4"/>
  <c r="O655" i="4" s="1"/>
  <c r="J417" i="7"/>
  <c r="K417" i="7" s="1"/>
  <c r="K433" i="7"/>
  <c r="M421" i="7"/>
  <c r="P424" i="7"/>
  <c r="M422" i="7"/>
  <c r="P422" i="7" s="1"/>
  <c r="M33" i="7"/>
  <c r="P685" i="7"/>
  <c r="N24" i="7"/>
  <c r="O24" i="7" s="1"/>
  <c r="M345" i="7"/>
  <c r="P345" i="7" s="1"/>
  <c r="P41" i="7"/>
  <c r="P43" i="7"/>
  <c r="L30" i="7"/>
  <c r="O33" i="7"/>
  <c r="O9" i="7"/>
  <c r="L13" i="7"/>
  <c r="P19" i="7"/>
  <c r="P55" i="7"/>
  <c r="M53" i="7"/>
  <c r="O546" i="7"/>
  <c r="L544" i="7"/>
  <c r="O544" i="7" s="1"/>
  <c r="P14" i="7"/>
  <c r="P184" i="6"/>
  <c r="L30" i="6"/>
  <c r="L28" i="6" s="1"/>
  <c r="O28" i="6" s="1"/>
  <c r="K417" i="6"/>
  <c r="O263" i="5"/>
  <c r="P90" i="5"/>
  <c r="K417" i="5"/>
  <c r="M165" i="6"/>
  <c r="P165" i="6" s="1"/>
  <c r="L31" i="5"/>
  <c r="L31" i="6"/>
  <c r="O31" i="6" s="1"/>
  <c r="L298" i="6"/>
  <c r="O298" i="6" s="1"/>
  <c r="O261" i="6"/>
  <c r="I226" i="6"/>
  <c r="O263" i="6"/>
  <c r="N547" i="1"/>
  <c r="P547" i="1" s="1"/>
  <c r="M469" i="2"/>
  <c r="M467" i="2" s="1"/>
  <c r="P467" i="2" s="1"/>
  <c r="O151" i="4"/>
  <c r="O330" i="5"/>
  <c r="P121" i="5"/>
  <c r="L402" i="6"/>
  <c r="O402" i="6" s="1"/>
  <c r="O36" i="6"/>
  <c r="L34" i="6"/>
  <c r="O34" i="6" s="1"/>
  <c r="I131" i="6"/>
  <c r="K131" i="6" s="1"/>
  <c r="K143" i="6"/>
  <c r="P23" i="5"/>
  <c r="M88" i="5"/>
  <c r="P88" i="5" s="1"/>
  <c r="O660" i="1"/>
  <c r="O91" i="2"/>
  <c r="L149" i="5"/>
  <c r="O149" i="5" s="1"/>
  <c r="O165" i="5"/>
  <c r="P261" i="6"/>
  <c r="P168" i="6"/>
  <c r="I131" i="4"/>
  <c r="K131" i="4" s="1"/>
  <c r="L277" i="4"/>
  <c r="O277" i="4" s="1"/>
  <c r="P167" i="5"/>
  <c r="P181" i="5"/>
  <c r="L277" i="6"/>
  <c r="O277" i="6" s="1"/>
  <c r="M402" i="4"/>
  <c r="P402" i="4" s="1"/>
  <c r="K76" i="5"/>
  <c r="K143" i="3"/>
  <c r="M66" i="5"/>
  <c r="P66" i="5" s="1"/>
  <c r="P90" i="6"/>
  <c r="K433" i="6"/>
  <c r="P263" i="6"/>
  <c r="P300" i="6"/>
  <c r="M298" i="6"/>
  <c r="P298" i="6" s="1"/>
  <c r="P43" i="6"/>
  <c r="M41" i="6"/>
  <c r="O631" i="6"/>
  <c r="L629" i="6"/>
  <c r="O629" i="6" s="1"/>
  <c r="P472" i="3"/>
  <c r="L444" i="3"/>
  <c r="O444" i="3" s="1"/>
  <c r="O658" i="6"/>
  <c r="P345" i="6"/>
  <c r="I418" i="6"/>
  <c r="K418" i="6" s="1"/>
  <c r="K434" i="6"/>
  <c r="P690" i="6"/>
  <c r="M688" i="6"/>
  <c r="P688" i="6" s="1"/>
  <c r="M687" i="6"/>
  <c r="O657" i="6"/>
  <c r="L655" i="6"/>
  <c r="O655" i="6" s="1"/>
  <c r="L444" i="4"/>
  <c r="O444" i="4" s="1"/>
  <c r="P183" i="5"/>
  <c r="P90" i="3"/>
  <c r="P165" i="5"/>
  <c r="M657" i="6"/>
  <c r="P660" i="6"/>
  <c r="M658" i="6"/>
  <c r="P658" i="6" s="1"/>
  <c r="O391" i="6"/>
  <c r="L389" i="6"/>
  <c r="O389" i="6" s="1"/>
  <c r="M328" i="6"/>
  <c r="P328" i="6" s="1"/>
  <c r="M132" i="6"/>
  <c r="P132" i="6" s="1"/>
  <c r="O90" i="6"/>
  <c r="M16" i="6"/>
  <c r="P26" i="6"/>
  <c r="L328" i="6"/>
  <c r="O328" i="6" s="1"/>
  <c r="O330" i="6"/>
  <c r="L13" i="6"/>
  <c r="O23" i="6"/>
  <c r="L20" i="6"/>
  <c r="L21" i="6"/>
  <c r="O469" i="6"/>
  <c r="L467" i="6"/>
  <c r="O467" i="6" s="1"/>
  <c r="M402" i="3"/>
  <c r="P402" i="3" s="1"/>
  <c r="K433" i="5"/>
  <c r="O134" i="5"/>
  <c r="I164" i="6"/>
  <c r="K164" i="6" s="1"/>
  <c r="K174" i="6"/>
  <c r="P23" i="6"/>
  <c r="M20" i="6"/>
  <c r="M21" i="6"/>
  <c r="N31" i="6"/>
  <c r="M469" i="6"/>
  <c r="P472" i="6"/>
  <c r="M470" i="6"/>
  <c r="P470" i="6" s="1"/>
  <c r="O421" i="6"/>
  <c r="L419" i="6"/>
  <c r="K236" i="1"/>
  <c r="I226" i="2"/>
  <c r="I180" i="2" s="1"/>
  <c r="K180" i="2" s="1"/>
  <c r="O132" i="5"/>
  <c r="M149" i="6"/>
  <c r="P149" i="6" s="1"/>
  <c r="O238" i="6"/>
  <c r="L227" i="6"/>
  <c r="N9" i="6"/>
  <c r="O121" i="6"/>
  <c r="L119" i="6"/>
  <c r="O119" i="6" s="1"/>
  <c r="P547" i="6"/>
  <c r="O55" i="6"/>
  <c r="M421" i="6"/>
  <c r="P424" i="6"/>
  <c r="M33" i="6"/>
  <c r="M13" i="6" s="1"/>
  <c r="M422" i="6"/>
  <c r="P422" i="6" s="1"/>
  <c r="N20" i="6"/>
  <c r="N18" i="6" s="1"/>
  <c r="N13" i="6"/>
  <c r="N11" i="6" s="1"/>
  <c r="O9" i="6"/>
  <c r="O167" i="5"/>
  <c r="M402" i="6"/>
  <c r="P402" i="6" s="1"/>
  <c r="P404" i="6"/>
  <c r="P9" i="6"/>
  <c r="N24" i="6"/>
  <c r="P24" i="6" s="1"/>
  <c r="N16" i="6"/>
  <c r="N14" i="6" s="1"/>
  <c r="N21" i="6"/>
  <c r="N88" i="6"/>
  <c r="P88" i="6" s="1"/>
  <c r="M631" i="6"/>
  <c r="P634" i="6"/>
  <c r="M632" i="6"/>
  <c r="P632" i="6" s="1"/>
  <c r="L786" i="4"/>
  <c r="O786" i="4" s="1"/>
  <c r="P90" i="4"/>
  <c r="P132" i="5"/>
  <c r="L345" i="6"/>
  <c r="O345" i="6" s="1"/>
  <c r="O347" i="6"/>
  <c r="L523" i="6"/>
  <c r="O523" i="6" s="1"/>
  <c r="O525" i="6"/>
  <c r="L685" i="6"/>
  <c r="O685" i="6" s="1"/>
  <c r="O687" i="6"/>
  <c r="P347" i="6"/>
  <c r="O33" i="6"/>
  <c r="N53" i="6"/>
  <c r="O53" i="6" s="1"/>
  <c r="M389" i="4"/>
  <c r="P389" i="4" s="1"/>
  <c r="O121" i="5"/>
  <c r="O88" i="2"/>
  <c r="M88" i="3"/>
  <c r="P88" i="3" s="1"/>
  <c r="N119" i="5"/>
  <c r="P119" i="5" s="1"/>
  <c r="K76" i="3"/>
  <c r="O331" i="4"/>
  <c r="P300" i="5"/>
  <c r="O183" i="5"/>
  <c r="L277" i="5"/>
  <c r="O277" i="5" s="1"/>
  <c r="O184" i="5"/>
  <c r="L119" i="3"/>
  <c r="O119" i="3" s="1"/>
  <c r="M389" i="5"/>
  <c r="P389" i="5" s="1"/>
  <c r="L88" i="5"/>
  <c r="O88" i="5" s="1"/>
  <c r="O546" i="5"/>
  <c r="L544" i="5"/>
  <c r="O544" i="5" s="1"/>
  <c r="O125" i="5"/>
  <c r="O788" i="1"/>
  <c r="O348" i="2"/>
  <c r="N345" i="4"/>
  <c r="O345" i="4" s="1"/>
  <c r="O68" i="3"/>
  <c r="O90" i="2"/>
  <c r="L20" i="1"/>
  <c r="L18" i="1" s="1"/>
  <c r="P69" i="2"/>
  <c r="M447" i="3"/>
  <c r="P447" i="3" s="1"/>
  <c r="K77" i="4"/>
  <c r="L165" i="2"/>
  <c r="O165" i="2" s="1"/>
  <c r="L523" i="4"/>
  <c r="O523" i="4" s="1"/>
  <c r="O348" i="4"/>
  <c r="O264" i="5"/>
  <c r="P419" i="5"/>
  <c r="O167" i="4"/>
  <c r="O134" i="4"/>
  <c r="O687" i="5"/>
  <c r="L685" i="5"/>
  <c r="O685" i="5" s="1"/>
  <c r="N20" i="5"/>
  <c r="N18" i="5" s="1"/>
  <c r="N21" i="5"/>
  <c r="P21" i="5" s="1"/>
  <c r="O135" i="5"/>
  <c r="P135" i="5"/>
  <c r="N345" i="5"/>
  <c r="O345" i="5" s="1"/>
  <c r="P347" i="5"/>
  <c r="O421" i="5"/>
  <c r="L419" i="5"/>
  <c r="L685" i="2"/>
  <c r="O685" i="2" s="1"/>
  <c r="M119" i="3"/>
  <c r="P119" i="3" s="1"/>
  <c r="O402" i="2"/>
  <c r="M631" i="5"/>
  <c r="P634" i="5"/>
  <c r="M632" i="5"/>
  <c r="M33" i="5"/>
  <c r="M544" i="5"/>
  <c r="P544" i="5" s="1"/>
  <c r="P545" i="5"/>
  <c r="L328" i="5"/>
  <c r="O328" i="5" s="1"/>
  <c r="N16" i="5"/>
  <c r="N14" i="5" s="1"/>
  <c r="N24" i="5"/>
  <c r="M53" i="5"/>
  <c r="P55" i="5"/>
  <c r="O26" i="5"/>
  <c r="L16" i="5"/>
  <c r="L24" i="5"/>
  <c r="N41" i="5"/>
  <c r="O632" i="5"/>
  <c r="L298" i="5"/>
  <c r="O298" i="5" s="1"/>
  <c r="O300" i="5"/>
  <c r="O12" i="5"/>
  <c r="L9" i="5"/>
  <c r="M277" i="5"/>
  <c r="P277" i="5" s="1"/>
  <c r="O43" i="5"/>
  <c r="L41" i="5"/>
  <c r="O280" i="2"/>
  <c r="O55" i="2"/>
  <c r="M526" i="3"/>
  <c r="P526" i="3" s="1"/>
  <c r="L544" i="3"/>
  <c r="O544" i="3" s="1"/>
  <c r="K77" i="3"/>
  <c r="P317" i="4"/>
  <c r="L389" i="4"/>
  <c r="O389" i="4" s="1"/>
  <c r="L66" i="4"/>
  <c r="O66" i="4" s="1"/>
  <c r="M298" i="4"/>
  <c r="P298" i="4" s="1"/>
  <c r="O391" i="5"/>
  <c r="L389" i="5"/>
  <c r="O389" i="5" s="1"/>
  <c r="P469" i="5"/>
  <c r="O469" i="5"/>
  <c r="L467" i="5"/>
  <c r="O467" i="5" s="1"/>
  <c r="L786" i="5"/>
  <c r="O786" i="5" s="1"/>
  <c r="P134" i="5"/>
  <c r="O238" i="5"/>
  <c r="L227" i="5"/>
  <c r="P29" i="5"/>
  <c r="O56" i="5"/>
  <c r="P467" i="5"/>
  <c r="P421" i="5"/>
  <c r="P165" i="4"/>
  <c r="O446" i="5"/>
  <c r="L444" i="5"/>
  <c r="O444" i="5" s="1"/>
  <c r="I65" i="5"/>
  <c r="K65" i="5" s="1"/>
  <c r="K77" i="5"/>
  <c r="N632" i="5"/>
  <c r="N631" i="5"/>
  <c r="N33" i="5"/>
  <c r="P351" i="5"/>
  <c r="O347" i="5"/>
  <c r="L66" i="5"/>
  <c r="O66" i="5" s="1"/>
  <c r="O23" i="5"/>
  <c r="L13" i="5"/>
  <c r="L21" i="5"/>
  <c r="L20" i="5"/>
  <c r="P26" i="5"/>
  <c r="M16" i="5"/>
  <c r="M24" i="5"/>
  <c r="O55" i="5"/>
  <c r="K417" i="3"/>
  <c r="N13" i="2"/>
  <c r="N10" i="2" s="1"/>
  <c r="O135" i="3"/>
  <c r="L149" i="2"/>
  <c r="O149" i="2" s="1"/>
  <c r="O317" i="2"/>
  <c r="K77" i="2"/>
  <c r="L66" i="3"/>
  <c r="O66" i="3" s="1"/>
  <c r="P263" i="3"/>
  <c r="P347" i="2"/>
  <c r="P43" i="2"/>
  <c r="O404" i="2"/>
  <c r="L629" i="3"/>
  <c r="O629" i="3" s="1"/>
  <c r="O279" i="3"/>
  <c r="L34" i="4"/>
  <c r="O34" i="4" s="1"/>
  <c r="P44" i="4"/>
  <c r="P183" i="2"/>
  <c r="L786" i="3"/>
  <c r="O786" i="3" s="1"/>
  <c r="P279" i="2"/>
  <c r="P151" i="3"/>
  <c r="O544" i="4"/>
  <c r="L402" i="4"/>
  <c r="O402" i="4" s="1"/>
  <c r="P55" i="4"/>
  <c r="N53" i="4"/>
  <c r="P53" i="4" s="1"/>
  <c r="M389" i="3"/>
  <c r="P389" i="3" s="1"/>
  <c r="O165" i="4"/>
  <c r="M422" i="4"/>
  <c r="P422" i="4" s="1"/>
  <c r="P424" i="4"/>
  <c r="L655" i="2"/>
  <c r="O655" i="2" s="1"/>
  <c r="L523" i="3"/>
  <c r="O523" i="3" s="1"/>
  <c r="O317" i="4"/>
  <c r="P347" i="4"/>
  <c r="O121" i="4"/>
  <c r="L119" i="4"/>
  <c r="O119" i="4" s="1"/>
  <c r="L34" i="3"/>
  <c r="O34" i="3" s="1"/>
  <c r="O44" i="3"/>
  <c r="M165" i="3"/>
  <c r="P165" i="3" s="1"/>
  <c r="O263" i="4"/>
  <c r="P167" i="4"/>
  <c r="P68" i="4"/>
  <c r="M66" i="4"/>
  <c r="P66" i="4" s="1"/>
  <c r="P181" i="2"/>
  <c r="K65" i="1"/>
  <c r="P152" i="3"/>
  <c r="K364" i="4"/>
  <c r="O447" i="4"/>
  <c r="M446" i="4"/>
  <c r="M447" i="4"/>
  <c r="P447" i="4" s="1"/>
  <c r="N414" i="4"/>
  <c r="P151" i="1"/>
  <c r="M20" i="3"/>
  <c r="M18" i="3" s="1"/>
  <c r="O55" i="3"/>
  <c r="O91" i="4"/>
  <c r="P91" i="4"/>
  <c r="L298" i="4"/>
  <c r="O298" i="4" s="1"/>
  <c r="P330" i="4"/>
  <c r="O15" i="4"/>
  <c r="O43" i="4"/>
  <c r="N41" i="4"/>
  <c r="M470" i="4"/>
  <c r="P470" i="4" s="1"/>
  <c r="P472" i="4"/>
  <c r="M469" i="4"/>
  <c r="M33" i="4"/>
  <c r="N181" i="4"/>
  <c r="O181" i="4" s="1"/>
  <c r="L544" i="2"/>
  <c r="O544" i="2" s="1"/>
  <c r="P90" i="2"/>
  <c r="P331" i="4"/>
  <c r="L24" i="4"/>
  <c r="O26" i="4"/>
  <c r="L16" i="4"/>
  <c r="P183" i="4"/>
  <c r="L53" i="4"/>
  <c r="O55" i="4"/>
  <c r="O328" i="4"/>
  <c r="L13" i="1"/>
  <c r="L11" i="1" s="1"/>
  <c r="O330" i="2"/>
  <c r="M132" i="2"/>
  <c r="P132" i="2" s="1"/>
  <c r="K174" i="2"/>
  <c r="P469" i="3"/>
  <c r="N277" i="3"/>
  <c r="O277" i="3" s="1"/>
  <c r="O347" i="2"/>
  <c r="P328" i="4"/>
  <c r="O546" i="4"/>
  <c r="O261" i="4"/>
  <c r="L419" i="4"/>
  <c r="P348" i="4"/>
  <c r="O238" i="4"/>
  <c r="L227" i="4"/>
  <c r="P9" i="4"/>
  <c r="O330" i="4"/>
  <c r="P151" i="4"/>
  <c r="M149" i="4"/>
  <c r="P149" i="4" s="1"/>
  <c r="L685" i="3"/>
  <c r="O685" i="3" s="1"/>
  <c r="M470" i="3"/>
  <c r="P470" i="3" s="1"/>
  <c r="O53" i="3"/>
  <c r="N149" i="3"/>
  <c r="P149" i="3" s="1"/>
  <c r="P23" i="3"/>
  <c r="K434" i="4"/>
  <c r="I418" i="4"/>
  <c r="K418" i="4" s="1"/>
  <c r="O184" i="4"/>
  <c r="K433" i="4"/>
  <c r="P26" i="4"/>
  <c r="M16" i="4"/>
  <c r="M24" i="4"/>
  <c r="O23" i="4"/>
  <c r="L13" i="4"/>
  <c r="L20" i="4"/>
  <c r="L21" i="4"/>
  <c r="P43" i="4"/>
  <c r="P261" i="3"/>
  <c r="M544" i="4"/>
  <c r="P544" i="4" s="1"/>
  <c r="K417" i="4"/>
  <c r="O168" i="4"/>
  <c r="O29" i="4"/>
  <c r="N88" i="4"/>
  <c r="O88" i="4" s="1"/>
  <c r="O90" i="4"/>
  <c r="L467" i="4"/>
  <c r="O467" i="4" s="1"/>
  <c r="O469" i="4"/>
  <c r="O68" i="2"/>
  <c r="P29" i="4"/>
  <c r="P23" i="4"/>
  <c r="M20" i="4"/>
  <c r="M21" i="4"/>
  <c r="O33" i="4"/>
  <c r="L30" i="4"/>
  <c r="O30" i="4" s="1"/>
  <c r="P421" i="4"/>
  <c r="M419" i="4"/>
  <c r="P263" i="4"/>
  <c r="M261" i="4"/>
  <c r="P261" i="4" s="1"/>
  <c r="P121" i="4"/>
  <c r="M119" i="4"/>
  <c r="P119" i="4" s="1"/>
  <c r="N16" i="4"/>
  <c r="N14" i="4" s="1"/>
  <c r="N24" i="4"/>
  <c r="I226" i="4"/>
  <c r="K237" i="4"/>
  <c r="I64" i="4"/>
  <c r="K64" i="4" s="1"/>
  <c r="K76" i="4"/>
  <c r="N13" i="4"/>
  <c r="N20" i="4"/>
  <c r="N18" i="4" s="1"/>
  <c r="N21" i="4"/>
  <c r="O9" i="4"/>
  <c r="K433" i="3"/>
  <c r="N470" i="1"/>
  <c r="O470" i="1" s="1"/>
  <c r="P151" i="2"/>
  <c r="O264" i="3"/>
  <c r="K143" i="2"/>
  <c r="L419" i="2"/>
  <c r="O419" i="2" s="1"/>
  <c r="K288" i="3"/>
  <c r="P264" i="2"/>
  <c r="P21" i="2"/>
  <c r="N53" i="2"/>
  <c r="O53" i="2" s="1"/>
  <c r="K275" i="3"/>
  <c r="O33" i="3"/>
  <c r="L31" i="3"/>
  <c r="O31" i="3" s="1"/>
  <c r="L30" i="3"/>
  <c r="O30" i="3" s="1"/>
  <c r="O9" i="3"/>
  <c r="I226" i="3"/>
  <c r="K237" i="3"/>
  <c r="P279" i="3"/>
  <c r="M277" i="3"/>
  <c r="O238" i="3"/>
  <c r="L227" i="3"/>
  <c r="O167" i="3"/>
  <c r="L165" i="3"/>
  <c r="O165" i="3" s="1"/>
  <c r="P549" i="1"/>
  <c r="O23" i="1"/>
  <c r="P345" i="2"/>
  <c r="L149" i="3"/>
  <c r="O151" i="3"/>
  <c r="M421" i="3"/>
  <c r="M422" i="3"/>
  <c r="P422" i="3" s="1"/>
  <c r="P424" i="3"/>
  <c r="M33" i="3"/>
  <c r="O29" i="3"/>
  <c r="O317" i="3"/>
  <c r="L315" i="3"/>
  <c r="O26" i="3"/>
  <c r="L16" i="3"/>
  <c r="O16" i="3" s="1"/>
  <c r="O351" i="3"/>
  <c r="O347" i="3"/>
  <c r="L345" i="3"/>
  <c r="O345" i="3" s="1"/>
  <c r="N14" i="1"/>
  <c r="O263" i="1"/>
  <c r="P470" i="2"/>
  <c r="K174" i="3"/>
  <c r="I164" i="3"/>
  <c r="K164" i="3" s="1"/>
  <c r="L467" i="3"/>
  <c r="O467" i="3" s="1"/>
  <c r="N181" i="3"/>
  <c r="P181" i="3" s="1"/>
  <c r="P183" i="3"/>
  <c r="N14" i="2"/>
  <c r="M88" i="2"/>
  <c r="P88" i="2" s="1"/>
  <c r="P331" i="3"/>
  <c r="P300" i="3"/>
  <c r="N298" i="3"/>
  <c r="P298" i="3" s="1"/>
  <c r="P347" i="3"/>
  <c r="O59" i="3"/>
  <c r="O301" i="3"/>
  <c r="N20" i="3"/>
  <c r="N18" i="3" s="1"/>
  <c r="N13" i="3"/>
  <c r="L227" i="1"/>
  <c r="O549" i="1"/>
  <c r="L786" i="2"/>
  <c r="O786" i="2" s="1"/>
  <c r="O469" i="2"/>
  <c r="P472" i="2"/>
  <c r="N24" i="2"/>
  <c r="P348" i="3"/>
  <c r="N315" i="3"/>
  <c r="P315" i="3" s="1"/>
  <c r="P317" i="3"/>
  <c r="J364" i="3"/>
  <c r="K364" i="3" s="1"/>
  <c r="K374" i="3"/>
  <c r="O300" i="3"/>
  <c r="L298" i="3"/>
  <c r="P345" i="3"/>
  <c r="P55" i="3"/>
  <c r="M53" i="3"/>
  <c r="P53" i="3" s="1"/>
  <c r="N14" i="3"/>
  <c r="K543" i="3"/>
  <c r="L24" i="3"/>
  <c r="N41" i="3"/>
  <c r="P43" i="3"/>
  <c r="N24" i="3"/>
  <c r="L419" i="3"/>
  <c r="O421" i="3"/>
  <c r="P446" i="3"/>
  <c r="M444" i="3"/>
  <c r="P444" i="3" s="1"/>
  <c r="P26" i="3"/>
  <c r="M16" i="3"/>
  <c r="M24" i="3"/>
  <c r="P12" i="3"/>
  <c r="M9" i="3"/>
  <c r="K559" i="3"/>
  <c r="L88" i="3"/>
  <c r="O88" i="3" s="1"/>
  <c r="O90" i="3"/>
  <c r="P19" i="3"/>
  <c r="N132" i="3"/>
  <c r="P132" i="3" s="1"/>
  <c r="P134" i="3"/>
  <c r="M277" i="2"/>
  <c r="P277" i="2" s="1"/>
  <c r="O317" i="1"/>
  <c r="O167" i="1"/>
  <c r="O547" i="3"/>
  <c r="L389" i="3"/>
  <c r="O389" i="3" s="1"/>
  <c r="O391" i="3"/>
  <c r="O23" i="3"/>
  <c r="L13" i="3"/>
  <c r="L20" i="3"/>
  <c r="L21" i="3"/>
  <c r="K537" i="3"/>
  <c r="O15" i="3"/>
  <c r="O263" i="3"/>
  <c r="L261" i="3"/>
  <c r="O261" i="3" s="1"/>
  <c r="N21" i="3"/>
  <c r="P21" i="3" s="1"/>
  <c r="O134" i="3"/>
  <c r="I418" i="3"/>
  <c r="K418" i="3" s="1"/>
  <c r="K434" i="3"/>
  <c r="M546" i="3"/>
  <c r="P549" i="3"/>
  <c r="M547" i="3"/>
  <c r="P547" i="3" s="1"/>
  <c r="P330" i="3"/>
  <c r="N328" i="3"/>
  <c r="O183" i="3"/>
  <c r="L181" i="3"/>
  <c r="O318" i="3"/>
  <c r="M66" i="3"/>
  <c r="P66" i="3" s="1"/>
  <c r="P68" i="3"/>
  <c r="O345" i="2"/>
  <c r="K576" i="1"/>
  <c r="P68" i="1"/>
  <c r="P68" i="2"/>
  <c r="N66" i="2"/>
  <c r="P66" i="2" s="1"/>
  <c r="P298" i="1"/>
  <c r="K675" i="1"/>
  <c r="K669" i="1"/>
  <c r="N315" i="2"/>
  <c r="O315" i="2" s="1"/>
  <c r="K364" i="2"/>
  <c r="L119" i="2"/>
  <c r="O119" i="2" s="1"/>
  <c r="O328" i="2"/>
  <c r="O36" i="2"/>
  <c r="L34" i="2"/>
  <c r="O34" i="2" s="1"/>
  <c r="O68" i="1"/>
  <c r="P391" i="1"/>
  <c r="O261" i="1"/>
  <c r="N422" i="1"/>
  <c r="P422" i="1" s="1"/>
  <c r="K77" i="1"/>
  <c r="P277" i="1"/>
  <c r="K76" i="2"/>
  <c r="M547" i="2"/>
  <c r="P547" i="2" s="1"/>
  <c r="M546" i="2"/>
  <c r="P546" i="2" s="1"/>
  <c r="O467" i="1"/>
  <c r="K112" i="1"/>
  <c r="L298" i="2"/>
  <c r="O298" i="2" s="1"/>
  <c r="O264" i="1"/>
  <c r="P263" i="1"/>
  <c r="M389" i="1"/>
  <c r="P389" i="1" s="1"/>
  <c r="P279" i="1"/>
  <c r="N20" i="2"/>
  <c r="N18" i="2" s="1"/>
  <c r="L629" i="2"/>
  <c r="O629" i="2" s="1"/>
  <c r="O631" i="2"/>
  <c r="L315" i="1"/>
  <c r="O315" i="1" s="1"/>
  <c r="P424" i="1"/>
  <c r="P472" i="1"/>
  <c r="K364" i="1"/>
  <c r="P545" i="2"/>
  <c r="P300" i="2"/>
  <c r="M298" i="2"/>
  <c r="P298" i="2" s="1"/>
  <c r="P404" i="2"/>
  <c r="M402" i="2"/>
  <c r="P402" i="2" s="1"/>
  <c r="P631" i="2"/>
  <c r="M629" i="2"/>
  <c r="P629" i="2" s="1"/>
  <c r="M9" i="2"/>
  <c r="P12" i="2"/>
  <c r="L227" i="2"/>
  <c r="O472" i="1"/>
  <c r="O198" i="1"/>
  <c r="M315" i="1"/>
  <c r="P315" i="1" s="1"/>
  <c r="P660" i="1"/>
  <c r="N421" i="1"/>
  <c r="N419" i="1" s="1"/>
  <c r="O419" i="1" s="1"/>
  <c r="J594" i="1"/>
  <c r="K594" i="1" s="1"/>
  <c r="P391" i="2"/>
  <c r="O391" i="2"/>
  <c r="L16" i="2"/>
  <c r="O16" i="2" s="1"/>
  <c r="O26" i="2"/>
  <c r="O44" i="2"/>
  <c r="P330" i="2"/>
  <c r="M328" i="2"/>
  <c r="P328" i="2" s="1"/>
  <c r="N261" i="2"/>
  <c r="O261" i="2" s="1"/>
  <c r="O263" i="2"/>
  <c r="I417" i="2"/>
  <c r="K417" i="2" s="1"/>
  <c r="K433" i="2"/>
  <c r="O134" i="2"/>
  <c r="L132" i="2"/>
  <c r="O132" i="2" s="1"/>
  <c r="O53" i="1"/>
  <c r="M31" i="1"/>
  <c r="O525" i="2"/>
  <c r="L523" i="2"/>
  <c r="O523" i="2" s="1"/>
  <c r="L20" i="2"/>
  <c r="L13" i="2"/>
  <c r="O23" i="2"/>
  <c r="O19" i="2"/>
  <c r="K537" i="2"/>
  <c r="L24" i="2"/>
  <c r="L41" i="2"/>
  <c r="M53" i="2"/>
  <c r="P55" i="2"/>
  <c r="O15" i="2"/>
  <c r="O33" i="2"/>
  <c r="L30" i="2"/>
  <c r="L31" i="2"/>
  <c r="O31" i="2" s="1"/>
  <c r="L66" i="1"/>
  <c r="O66" i="1" s="1"/>
  <c r="M13" i="1"/>
  <c r="M11" i="1" s="1"/>
  <c r="P263" i="2"/>
  <c r="P424" i="2"/>
  <c r="M422" i="2"/>
  <c r="P422" i="2" s="1"/>
  <c r="M421" i="2"/>
  <c r="M33" i="2"/>
  <c r="M13" i="2" s="1"/>
  <c r="M20" i="2"/>
  <c r="M18" i="2" s="1"/>
  <c r="P23" i="2"/>
  <c r="M525" i="2"/>
  <c r="P528" i="2"/>
  <c r="M526" i="2"/>
  <c r="P526" i="2" s="1"/>
  <c r="O389" i="2"/>
  <c r="O12" i="2"/>
  <c r="L9" i="2"/>
  <c r="M119" i="2"/>
  <c r="P119" i="2" s="1"/>
  <c r="P121" i="2"/>
  <c r="O279" i="2"/>
  <c r="L277" i="2"/>
  <c r="O277" i="2" s="1"/>
  <c r="P688" i="1"/>
  <c r="L34" i="1"/>
  <c r="O34" i="1" s="1"/>
  <c r="N31" i="2"/>
  <c r="P41" i="2"/>
  <c r="P167" i="2"/>
  <c r="M165" i="2"/>
  <c r="P165" i="2" s="1"/>
  <c r="K434" i="2"/>
  <c r="I418" i="2"/>
  <c r="K418" i="2" s="1"/>
  <c r="L21" i="2"/>
  <c r="O21" i="2" s="1"/>
  <c r="K288" i="2"/>
  <c r="P318" i="2"/>
  <c r="P26" i="2"/>
  <c r="M16" i="2"/>
  <c r="M24" i="2"/>
  <c r="N9" i="2"/>
  <c r="P389" i="2"/>
  <c r="K275" i="2"/>
  <c r="O446" i="2"/>
  <c r="L444" i="2"/>
  <c r="O444" i="2" s="1"/>
  <c r="P19" i="2"/>
  <c r="K559" i="2"/>
  <c r="I543" i="2"/>
  <c r="K543" i="2" s="1"/>
  <c r="P149" i="2"/>
  <c r="O183" i="2"/>
  <c r="L181" i="2"/>
  <c r="O181" i="2" s="1"/>
  <c r="M315" i="2"/>
  <c r="P317" i="2"/>
  <c r="K233" i="1"/>
  <c r="O121" i="1"/>
  <c r="O217" i="1"/>
  <c r="P328" i="1"/>
  <c r="N227" i="1"/>
  <c r="O134" i="1"/>
  <c r="N24" i="1"/>
  <c r="M66" i="1"/>
  <c r="P66" i="1" s="1"/>
  <c r="O657" i="1"/>
  <c r="O90" i="1"/>
  <c r="N658" i="1"/>
  <c r="O658" i="1" s="1"/>
  <c r="P43" i="1"/>
  <c r="O55" i="1"/>
  <c r="N165" i="1"/>
  <c r="P165" i="1" s="1"/>
  <c r="L30" i="1"/>
  <c r="L28" i="1" s="1"/>
  <c r="O655" i="1"/>
  <c r="L119" i="1"/>
  <c r="O119" i="1" s="1"/>
  <c r="P88" i="1"/>
  <c r="O389" i="1"/>
  <c r="O88" i="1"/>
  <c r="M20" i="1"/>
  <c r="M18" i="1" s="1"/>
  <c r="O238" i="1"/>
  <c r="P330" i="1"/>
  <c r="O546" i="1"/>
  <c r="P125" i="1"/>
  <c r="P90" i="1"/>
  <c r="P119" i="1"/>
  <c r="P167" i="1"/>
  <c r="O181" i="1"/>
  <c r="K237" i="1"/>
  <c r="K64" i="1"/>
  <c r="O209" i="1"/>
  <c r="P121" i="1"/>
  <c r="N149" i="1"/>
  <c r="J593" i="1"/>
  <c r="K593" i="1" s="1"/>
  <c r="P181" i="1"/>
  <c r="K543" i="1"/>
  <c r="M41" i="1"/>
  <c r="P41" i="1" s="1"/>
  <c r="O402" i="1"/>
  <c r="P467" i="1"/>
  <c r="P347" i="1"/>
  <c r="M345" i="1"/>
  <c r="P345" i="1" s="1"/>
  <c r="O690" i="1"/>
  <c r="M21" i="1"/>
  <c r="K76" i="1"/>
  <c r="P132" i="1"/>
  <c r="P469" i="1"/>
  <c r="O469" i="1"/>
  <c r="O279" i="1"/>
  <c r="K559" i="1"/>
  <c r="N687" i="1"/>
  <c r="O391" i="1"/>
  <c r="P690" i="1"/>
  <c r="P134" i="1"/>
  <c r="O688" i="1"/>
  <c r="O132" i="1"/>
  <c r="K226" i="1"/>
  <c r="I180" i="1"/>
  <c r="K180" i="1" s="1"/>
  <c r="N632" i="1"/>
  <c r="O632" i="1" s="1"/>
  <c r="N631" i="1"/>
  <c r="P631" i="1" s="1"/>
  <c r="P657" i="1"/>
  <c r="M655" i="1"/>
  <c r="P655" i="1" s="1"/>
  <c r="P544" i="1"/>
  <c r="P321" i="1"/>
  <c r="P183" i="1"/>
  <c r="O347" i="1"/>
  <c r="L345" i="1"/>
  <c r="O345" i="1" s="1"/>
  <c r="O330" i="1"/>
  <c r="L328" i="1"/>
  <c r="O328" i="1" s="1"/>
  <c r="N789" i="1"/>
  <c r="N788" i="1"/>
  <c r="N786" i="1" s="1"/>
  <c r="M24" i="1"/>
  <c r="P26" i="1"/>
  <c r="M16" i="1"/>
  <c r="M14" i="1" s="1"/>
  <c r="P546" i="1"/>
  <c r="O138" i="1"/>
  <c r="P152" i="1"/>
  <c r="P12" i="1"/>
  <c r="M9" i="1"/>
  <c r="O404" i="1"/>
  <c r="P634" i="1"/>
  <c r="K434" i="1"/>
  <c r="I418" i="1"/>
  <c r="K418" i="1" s="1"/>
  <c r="O298" i="1"/>
  <c r="O300" i="1"/>
  <c r="O56" i="1"/>
  <c r="P15" i="1"/>
  <c r="O168" i="1"/>
  <c r="N447" i="1"/>
  <c r="P447" i="1" s="1"/>
  <c r="N446" i="1"/>
  <c r="N33" i="1"/>
  <c r="P449" i="1"/>
  <c r="O151" i="1"/>
  <c r="L149" i="1"/>
  <c r="M261" i="1"/>
  <c r="P261" i="1" s="1"/>
  <c r="L41" i="1"/>
  <c r="O43" i="1"/>
  <c r="O29" i="1"/>
  <c r="P23" i="1"/>
  <c r="K654" i="1"/>
  <c r="O634" i="1"/>
  <c r="M53" i="1"/>
  <c r="P53" i="1" s="1"/>
  <c r="P55" i="1"/>
  <c r="L24" i="1"/>
  <c r="O26" i="1"/>
  <c r="L16" i="1"/>
  <c r="P404" i="1"/>
  <c r="M402" i="1"/>
  <c r="P402" i="1" s="1"/>
  <c r="P29" i="1"/>
  <c r="M28" i="1"/>
  <c r="L544" i="1"/>
  <c r="O544" i="1" s="1"/>
  <c r="P300" i="1"/>
  <c r="O183" i="1"/>
  <c r="N20" i="1"/>
  <c r="N18" i="1" s="1"/>
  <c r="N21" i="1"/>
  <c r="O21" i="1" s="1"/>
  <c r="P528" i="1"/>
  <c r="O528" i="1"/>
  <c r="N526" i="1"/>
  <c r="N525" i="1"/>
  <c r="N9" i="1"/>
  <c r="L9" i="1"/>
  <c r="O12" i="1"/>
  <c r="M523" i="15" l="1"/>
  <c r="P523" i="15" s="1"/>
  <c r="O165" i="13"/>
  <c r="O20" i="13"/>
  <c r="L28" i="15"/>
  <c r="O28" i="15" s="1"/>
  <c r="P18" i="14"/>
  <c r="O21" i="12"/>
  <c r="M544" i="7"/>
  <c r="P544" i="7" s="1"/>
  <c r="O149" i="15"/>
  <c r="P421" i="14"/>
  <c r="O181" i="13"/>
  <c r="O298" i="13"/>
  <c r="P315" i="15"/>
  <c r="O88" i="14"/>
  <c r="O21" i="14"/>
  <c r="P21" i="14"/>
  <c r="N8" i="14"/>
  <c r="O298" i="15"/>
  <c r="O20" i="14"/>
  <c r="N37" i="15"/>
  <c r="P261" i="14"/>
  <c r="P24" i="14"/>
  <c r="P20" i="14"/>
  <c r="M10" i="15"/>
  <c r="P13" i="15"/>
  <c r="M11" i="15"/>
  <c r="L10" i="15"/>
  <c r="L8" i="15" s="1"/>
  <c r="O13" i="15"/>
  <c r="L11" i="15"/>
  <c r="O9" i="15"/>
  <c r="O20" i="15"/>
  <c r="L18" i="15"/>
  <c r="O18" i="15" s="1"/>
  <c r="L28" i="14"/>
  <c r="O28" i="14" s="1"/>
  <c r="L414" i="15"/>
  <c r="O414" i="15" s="1"/>
  <c r="O419" i="15"/>
  <c r="P18" i="15"/>
  <c r="L14" i="15"/>
  <c r="O14" i="15" s="1"/>
  <c r="M37" i="15"/>
  <c r="P24" i="15"/>
  <c r="P20" i="15"/>
  <c r="N10" i="15"/>
  <c r="N8" i="15" s="1"/>
  <c r="N11" i="15"/>
  <c r="P546" i="15"/>
  <c r="M544" i="15"/>
  <c r="P544" i="15" s="1"/>
  <c r="P16" i="15"/>
  <c r="M14" i="15"/>
  <c r="P14" i="15" s="1"/>
  <c r="O41" i="15"/>
  <c r="L37" i="15"/>
  <c r="P469" i="15"/>
  <c r="M467" i="15"/>
  <c r="P467" i="15" s="1"/>
  <c r="P33" i="15"/>
  <c r="M31" i="15"/>
  <c r="P31" i="15" s="1"/>
  <c r="M30" i="15"/>
  <c r="O24" i="15"/>
  <c r="P421" i="15"/>
  <c r="M419" i="15"/>
  <c r="O21" i="15"/>
  <c r="N37" i="13"/>
  <c r="O165" i="11"/>
  <c r="L414" i="14"/>
  <c r="O414" i="14" s="1"/>
  <c r="M544" i="14"/>
  <c r="P544" i="14" s="1"/>
  <c r="P546" i="14"/>
  <c r="O41" i="10"/>
  <c r="O315" i="13"/>
  <c r="O328" i="14"/>
  <c r="P421" i="13"/>
  <c r="O41" i="14"/>
  <c r="L37" i="14"/>
  <c r="N37" i="11"/>
  <c r="L10" i="14"/>
  <c r="O13" i="14"/>
  <c r="L11" i="14"/>
  <c r="O11" i="14" s="1"/>
  <c r="P315" i="13"/>
  <c r="N11" i="13"/>
  <c r="O11" i="13" s="1"/>
  <c r="O345" i="14"/>
  <c r="P345" i="14"/>
  <c r="M14" i="14"/>
  <c r="P14" i="14" s="1"/>
  <c r="P16" i="14"/>
  <c r="N37" i="14"/>
  <c r="L28" i="13"/>
  <c r="O28" i="13" s="1"/>
  <c r="L18" i="14"/>
  <c r="O18" i="14" s="1"/>
  <c r="P33" i="14"/>
  <c r="M30" i="14"/>
  <c r="M31" i="14"/>
  <c r="P31" i="14" s="1"/>
  <c r="M13" i="14"/>
  <c r="P53" i="14"/>
  <c r="M37" i="14"/>
  <c r="P469" i="14"/>
  <c r="M467" i="14"/>
  <c r="O16" i="14"/>
  <c r="L14" i="14"/>
  <c r="O14" i="14" s="1"/>
  <c r="K226" i="14"/>
  <c r="I180" i="14"/>
  <c r="K180" i="14" s="1"/>
  <c r="P24" i="13"/>
  <c r="N8" i="13"/>
  <c r="O13" i="13"/>
  <c r="O21" i="13"/>
  <c r="L414" i="13"/>
  <c r="O414" i="13" s="1"/>
  <c r="N18" i="13"/>
  <c r="O18" i="13" s="1"/>
  <c r="O16" i="13"/>
  <c r="L14" i="13"/>
  <c r="O14" i="13" s="1"/>
  <c r="L37" i="13"/>
  <c r="P419" i="13"/>
  <c r="L10" i="13"/>
  <c r="P13" i="13"/>
  <c r="M10" i="13"/>
  <c r="P10" i="13" s="1"/>
  <c r="P525" i="13"/>
  <c r="M523" i="13"/>
  <c r="P523" i="13" s="1"/>
  <c r="K226" i="13"/>
  <c r="I180" i="13"/>
  <c r="K180" i="13" s="1"/>
  <c r="P33" i="13"/>
  <c r="M30" i="13"/>
  <c r="M31" i="13"/>
  <c r="P31" i="13" s="1"/>
  <c r="P20" i="13"/>
  <c r="P41" i="13"/>
  <c r="M37" i="13"/>
  <c r="P9" i="13"/>
  <c r="P469" i="13"/>
  <c r="M467" i="13"/>
  <c r="P467" i="13" s="1"/>
  <c r="P446" i="13"/>
  <c r="M444" i="13"/>
  <c r="P444" i="13" s="1"/>
  <c r="L28" i="11"/>
  <c r="O28" i="11" s="1"/>
  <c r="M419" i="12"/>
  <c r="P419" i="12" s="1"/>
  <c r="P421" i="12"/>
  <c r="P20" i="12"/>
  <c r="P24" i="12"/>
  <c r="M544" i="8"/>
  <c r="P544" i="8" s="1"/>
  <c r="L10" i="11"/>
  <c r="L8" i="11" s="1"/>
  <c r="P16" i="11"/>
  <c r="O9" i="12"/>
  <c r="N18" i="12"/>
  <c r="P18" i="12" s="1"/>
  <c r="P631" i="12"/>
  <c r="M629" i="12"/>
  <c r="P629" i="12" s="1"/>
  <c r="O53" i="10"/>
  <c r="P24" i="11"/>
  <c r="K226" i="12"/>
  <c r="I180" i="12"/>
  <c r="K180" i="12" s="1"/>
  <c r="P446" i="12"/>
  <c r="M444" i="12"/>
  <c r="P546" i="12"/>
  <c r="M544" i="12"/>
  <c r="P544" i="12" s="1"/>
  <c r="P33" i="12"/>
  <c r="M30" i="12"/>
  <c r="M13" i="12"/>
  <c r="M31" i="12"/>
  <c r="P31" i="12" s="1"/>
  <c r="N14" i="12"/>
  <c r="O14" i="12" s="1"/>
  <c r="N10" i="12"/>
  <c r="N8" i="12" s="1"/>
  <c r="P16" i="12"/>
  <c r="M37" i="12"/>
  <c r="P37" i="12" s="1"/>
  <c r="O444" i="12"/>
  <c r="L414" i="12"/>
  <c r="O414" i="12" s="1"/>
  <c r="P9" i="12"/>
  <c r="L18" i="12"/>
  <c r="O16" i="12"/>
  <c r="L28" i="12"/>
  <c r="O28" i="12" s="1"/>
  <c r="M467" i="12"/>
  <c r="P467" i="12" s="1"/>
  <c r="P469" i="12"/>
  <c r="O13" i="12"/>
  <c r="L10" i="12"/>
  <c r="L11" i="12"/>
  <c r="O11" i="12" s="1"/>
  <c r="L37" i="12"/>
  <c r="O37" i="12" s="1"/>
  <c r="L14" i="11"/>
  <c r="O14" i="11" s="1"/>
  <c r="L28" i="9"/>
  <c r="O28" i="9" s="1"/>
  <c r="L414" i="10"/>
  <c r="O414" i="10" s="1"/>
  <c r="O21" i="11"/>
  <c r="P24" i="9"/>
  <c r="L28" i="10"/>
  <c r="O28" i="10" s="1"/>
  <c r="P469" i="11"/>
  <c r="M467" i="11"/>
  <c r="P467" i="11" s="1"/>
  <c r="L10" i="10"/>
  <c r="L8" i="10" s="1"/>
  <c r="O9" i="11"/>
  <c r="O20" i="11"/>
  <c r="L18" i="11"/>
  <c r="O18" i="11" s="1"/>
  <c r="N10" i="11"/>
  <c r="N8" i="11" s="1"/>
  <c r="N11" i="11"/>
  <c r="O11" i="11" s="1"/>
  <c r="O13" i="11"/>
  <c r="O16" i="11"/>
  <c r="O41" i="11"/>
  <c r="L37" i="11"/>
  <c r="P419" i="11"/>
  <c r="O20" i="10"/>
  <c r="M14" i="11"/>
  <c r="P14" i="11" s="1"/>
  <c r="L414" i="11"/>
  <c r="O414" i="11" s="1"/>
  <c r="P9" i="11"/>
  <c r="P33" i="11"/>
  <c r="M30" i="11"/>
  <c r="M13" i="11"/>
  <c r="M31" i="11"/>
  <c r="P31" i="11" s="1"/>
  <c r="O13" i="10"/>
  <c r="P20" i="11"/>
  <c r="M18" i="11"/>
  <c r="P18" i="11" s="1"/>
  <c r="M37" i="11"/>
  <c r="K226" i="11"/>
  <c r="I180" i="11"/>
  <c r="K180" i="11" s="1"/>
  <c r="P132" i="9"/>
  <c r="O14" i="10"/>
  <c r="O16" i="10"/>
  <c r="P546" i="10"/>
  <c r="P14" i="10"/>
  <c r="N37" i="9"/>
  <c r="P24" i="8"/>
  <c r="P328" i="10"/>
  <c r="N37" i="10"/>
  <c r="P421" i="10"/>
  <c r="M419" i="10"/>
  <c r="P419" i="10" s="1"/>
  <c r="O14" i="9"/>
  <c r="M37" i="10"/>
  <c r="P13" i="10"/>
  <c r="M10" i="10"/>
  <c r="M11" i="10"/>
  <c r="P20" i="10"/>
  <c r="O18" i="10"/>
  <c r="M18" i="10"/>
  <c r="P18" i="10" s="1"/>
  <c r="O21" i="10"/>
  <c r="P66" i="9"/>
  <c r="P24" i="10"/>
  <c r="O88" i="9"/>
  <c r="P469" i="10"/>
  <c r="M467" i="10"/>
  <c r="P9" i="10"/>
  <c r="N10" i="10"/>
  <c r="N8" i="10" s="1"/>
  <c r="N11" i="10"/>
  <c r="O11" i="10" s="1"/>
  <c r="M30" i="10"/>
  <c r="P33" i="10"/>
  <c r="M31" i="10"/>
  <c r="P31" i="10" s="1"/>
  <c r="O9" i="10"/>
  <c r="I180" i="10"/>
  <c r="K180" i="10" s="1"/>
  <c r="K226" i="10"/>
  <c r="L37" i="10"/>
  <c r="O547" i="1"/>
  <c r="L28" i="8"/>
  <c r="O28" i="8" s="1"/>
  <c r="O261" i="9"/>
  <c r="L414" i="9"/>
  <c r="O414" i="9" s="1"/>
  <c r="O16" i="9"/>
  <c r="P20" i="7"/>
  <c r="I180" i="5"/>
  <c r="K180" i="5" s="1"/>
  <c r="P421" i="9"/>
  <c r="M419" i="9"/>
  <c r="P419" i="9" s="1"/>
  <c r="P13" i="9"/>
  <c r="M10" i="9"/>
  <c r="M11" i="9"/>
  <c r="O13" i="9"/>
  <c r="L10" i="9"/>
  <c r="L11" i="9"/>
  <c r="P41" i="9"/>
  <c r="M37" i="9"/>
  <c r="N37" i="7"/>
  <c r="P16" i="9"/>
  <c r="M14" i="9"/>
  <c r="P14" i="9" s="1"/>
  <c r="L37" i="9"/>
  <c r="P21" i="9"/>
  <c r="P33" i="9"/>
  <c r="M30" i="9"/>
  <c r="M31" i="9"/>
  <c r="P31" i="9" s="1"/>
  <c r="M467" i="9"/>
  <c r="P467" i="9" s="1"/>
  <c r="P469" i="9"/>
  <c r="O21" i="8"/>
  <c r="P446" i="9"/>
  <c r="M444" i="9"/>
  <c r="O21" i="9"/>
  <c r="K226" i="9"/>
  <c r="I180" i="9"/>
  <c r="K180" i="9" s="1"/>
  <c r="N10" i="9"/>
  <c r="N8" i="9" s="1"/>
  <c r="N11" i="9"/>
  <c r="P20" i="9"/>
  <c r="M18" i="9"/>
  <c r="P18" i="9" s="1"/>
  <c r="P546" i="6"/>
  <c r="O24" i="8"/>
  <c r="O20" i="9"/>
  <c r="L18" i="9"/>
  <c r="O18" i="9" s="1"/>
  <c r="L414" i="8"/>
  <c r="O414" i="8" s="1"/>
  <c r="P21" i="7"/>
  <c r="O18" i="8"/>
  <c r="P446" i="8"/>
  <c r="M37" i="8"/>
  <c r="P37" i="8" s="1"/>
  <c r="L37" i="8"/>
  <c r="O37" i="8" s="1"/>
  <c r="P16" i="8"/>
  <c r="M14" i="8"/>
  <c r="P14" i="8" s="1"/>
  <c r="O16" i="8"/>
  <c r="L10" i="8"/>
  <c r="L14" i="8"/>
  <c r="O14" i="8" s="1"/>
  <c r="P687" i="8"/>
  <c r="M685" i="8"/>
  <c r="P685" i="8" s="1"/>
  <c r="O20" i="8"/>
  <c r="O13" i="8"/>
  <c r="N10" i="8"/>
  <c r="N8" i="8" s="1"/>
  <c r="N11" i="8"/>
  <c r="O11" i="8" s="1"/>
  <c r="P33" i="8"/>
  <c r="M30" i="8"/>
  <c r="M31" i="8"/>
  <c r="P31" i="8" s="1"/>
  <c r="M419" i="8"/>
  <c r="P421" i="8"/>
  <c r="P21" i="8"/>
  <c r="P20" i="8"/>
  <c r="M18" i="8"/>
  <c r="P18" i="8" s="1"/>
  <c r="P469" i="8"/>
  <c r="M467" i="8"/>
  <c r="P467" i="8" s="1"/>
  <c r="M10" i="8"/>
  <c r="P13" i="8"/>
  <c r="M11" i="8"/>
  <c r="K226" i="2"/>
  <c r="P24" i="7"/>
  <c r="N18" i="7"/>
  <c r="O18" i="7" s="1"/>
  <c r="O20" i="7"/>
  <c r="L14" i="7"/>
  <c r="O14" i="7" s="1"/>
  <c r="P345" i="5"/>
  <c r="O119" i="5"/>
  <c r="O30" i="6"/>
  <c r="P53" i="7"/>
  <c r="M37" i="7"/>
  <c r="O30" i="7"/>
  <c r="L28" i="7"/>
  <c r="O28" i="7" s="1"/>
  <c r="L37" i="7"/>
  <c r="P9" i="7"/>
  <c r="I180" i="7"/>
  <c r="K180" i="7" s="1"/>
  <c r="K226" i="7"/>
  <c r="P421" i="7"/>
  <c r="M419" i="7"/>
  <c r="O261" i="7"/>
  <c r="P33" i="7"/>
  <c r="M30" i="7"/>
  <c r="M31" i="7"/>
  <c r="P31" i="7" s="1"/>
  <c r="M13" i="7"/>
  <c r="N11" i="7"/>
  <c r="N10" i="7"/>
  <c r="N8" i="7" s="1"/>
  <c r="P657" i="7"/>
  <c r="M655" i="7"/>
  <c r="P655" i="7" s="1"/>
  <c r="O13" i="7"/>
  <c r="L10" i="7"/>
  <c r="L11" i="7"/>
  <c r="O419" i="7"/>
  <c r="L414" i="7"/>
  <c r="O414" i="7" s="1"/>
  <c r="N414" i="7"/>
  <c r="P446" i="7"/>
  <c r="M444" i="7"/>
  <c r="P444" i="7" s="1"/>
  <c r="P469" i="7"/>
  <c r="M467" i="7"/>
  <c r="P467" i="7" s="1"/>
  <c r="P53" i="6"/>
  <c r="O16" i="6"/>
  <c r="O24" i="6"/>
  <c r="O14" i="6"/>
  <c r="N10" i="6"/>
  <c r="N8" i="6" s="1"/>
  <c r="L37" i="6"/>
  <c r="K226" i="6"/>
  <c r="I180" i="6"/>
  <c r="K180" i="6" s="1"/>
  <c r="O21" i="5"/>
  <c r="P469" i="2"/>
  <c r="P24" i="5"/>
  <c r="P421" i="6"/>
  <c r="M419" i="6"/>
  <c r="O88" i="6"/>
  <c r="P13" i="6"/>
  <c r="M10" i="6"/>
  <c r="M11" i="6"/>
  <c r="P11" i="6" s="1"/>
  <c r="P21" i="6"/>
  <c r="P20" i="6"/>
  <c r="M18" i="6"/>
  <c r="P18" i="6" s="1"/>
  <c r="O13" i="6"/>
  <c r="L10" i="6"/>
  <c r="L11" i="6"/>
  <c r="O11" i="6" s="1"/>
  <c r="P687" i="6"/>
  <c r="M685" i="6"/>
  <c r="P685" i="6" s="1"/>
  <c r="P41" i="6"/>
  <c r="M37" i="6"/>
  <c r="N37" i="6"/>
  <c r="M467" i="6"/>
  <c r="P467" i="6" s="1"/>
  <c r="P469" i="6"/>
  <c r="M655" i="6"/>
  <c r="P655" i="6" s="1"/>
  <c r="P657" i="6"/>
  <c r="P33" i="6"/>
  <c r="M30" i="6"/>
  <c r="M31" i="6"/>
  <c r="P31" i="6" s="1"/>
  <c r="P16" i="6"/>
  <c r="M14" i="6"/>
  <c r="P14" i="6" s="1"/>
  <c r="L18" i="6"/>
  <c r="O18" i="6" s="1"/>
  <c r="O20" i="6"/>
  <c r="P631" i="6"/>
  <c r="M629" i="6"/>
  <c r="P629" i="6" s="1"/>
  <c r="L414" i="6"/>
  <c r="O414" i="6" s="1"/>
  <c r="O419" i="6"/>
  <c r="O21" i="6"/>
  <c r="O24" i="5"/>
  <c r="N37" i="1"/>
  <c r="P18" i="5"/>
  <c r="L14" i="3"/>
  <c r="O14" i="3" s="1"/>
  <c r="P345" i="4"/>
  <c r="N11" i="2"/>
  <c r="L37" i="5"/>
  <c r="O41" i="5"/>
  <c r="O20" i="5"/>
  <c r="L18" i="5"/>
  <c r="O18" i="5" s="1"/>
  <c r="N30" i="5"/>
  <c r="N31" i="5"/>
  <c r="O31" i="5" s="1"/>
  <c r="O33" i="5"/>
  <c r="N37" i="5"/>
  <c r="P41" i="5"/>
  <c r="N629" i="5"/>
  <c r="O631" i="5"/>
  <c r="L10" i="5"/>
  <c r="L8" i="5" s="1"/>
  <c r="L11" i="5"/>
  <c r="O16" i="5"/>
  <c r="L14" i="5"/>
  <c r="O14" i="5" s="1"/>
  <c r="P20" i="5"/>
  <c r="O9" i="5"/>
  <c r="M30" i="5"/>
  <c r="P33" i="5"/>
  <c r="M13" i="5"/>
  <c r="M31" i="5"/>
  <c r="O149" i="3"/>
  <c r="P632" i="5"/>
  <c r="N13" i="5"/>
  <c r="P53" i="5"/>
  <c r="M37" i="5"/>
  <c r="P24" i="2"/>
  <c r="P16" i="5"/>
  <c r="M14" i="5"/>
  <c r="P14" i="5" s="1"/>
  <c r="P631" i="5"/>
  <c r="M629" i="5"/>
  <c r="M414" i="5" s="1"/>
  <c r="L414" i="5"/>
  <c r="O419" i="5"/>
  <c r="O21" i="4"/>
  <c r="P21" i="4"/>
  <c r="P24" i="1"/>
  <c r="O422" i="1"/>
  <c r="P181" i="4"/>
  <c r="P446" i="4"/>
  <c r="M444" i="4"/>
  <c r="P444" i="4" s="1"/>
  <c r="L10" i="1"/>
  <c r="L8" i="1" s="1"/>
  <c r="O16" i="4"/>
  <c r="P88" i="4"/>
  <c r="M31" i="4"/>
  <c r="P31" i="4" s="1"/>
  <c r="P33" i="4"/>
  <c r="M30" i="4"/>
  <c r="P315" i="2"/>
  <c r="P18" i="3"/>
  <c r="L28" i="4"/>
  <c r="O28" i="4" s="1"/>
  <c r="O20" i="4"/>
  <c r="L18" i="4"/>
  <c r="O18" i="4" s="1"/>
  <c r="P469" i="4"/>
  <c r="M467" i="4"/>
  <c r="P467" i="4" s="1"/>
  <c r="L10" i="4"/>
  <c r="O13" i="4"/>
  <c r="L11" i="4"/>
  <c r="O24" i="4"/>
  <c r="O24" i="1"/>
  <c r="N11" i="4"/>
  <c r="N10" i="4"/>
  <c r="N8" i="4" s="1"/>
  <c r="P20" i="4"/>
  <c r="M18" i="4"/>
  <c r="P18" i="4" s="1"/>
  <c r="P24" i="4"/>
  <c r="N37" i="4"/>
  <c r="P41" i="4"/>
  <c r="O41" i="4"/>
  <c r="P470" i="1"/>
  <c r="N8" i="2"/>
  <c r="M13" i="4"/>
  <c r="P16" i="4"/>
  <c r="M14" i="4"/>
  <c r="P14" i="4" s="1"/>
  <c r="O419" i="4"/>
  <c r="L414" i="4"/>
  <c r="O414" i="4" s="1"/>
  <c r="O53" i="4"/>
  <c r="L37" i="4"/>
  <c r="P419" i="4"/>
  <c r="L14" i="4"/>
  <c r="O14" i="4" s="1"/>
  <c r="P277" i="3"/>
  <c r="K226" i="4"/>
  <c r="I180" i="4"/>
  <c r="K180" i="4" s="1"/>
  <c r="M37" i="4"/>
  <c r="O21" i="3"/>
  <c r="L28" i="3"/>
  <c r="O28" i="3" s="1"/>
  <c r="P53" i="2"/>
  <c r="O315" i="3"/>
  <c r="O298" i="3"/>
  <c r="N37" i="3"/>
  <c r="O41" i="3"/>
  <c r="O181" i="3"/>
  <c r="P9" i="3"/>
  <c r="O132" i="3"/>
  <c r="N10" i="3"/>
  <c r="N8" i="3" s="1"/>
  <c r="N11" i="3"/>
  <c r="M37" i="3"/>
  <c r="L37" i="3"/>
  <c r="O24" i="3"/>
  <c r="P41" i="3"/>
  <c r="P33" i="3"/>
  <c r="M30" i="3"/>
  <c r="M31" i="3"/>
  <c r="P31" i="3" s="1"/>
  <c r="M13" i="3"/>
  <c r="P546" i="3"/>
  <c r="M544" i="3"/>
  <c r="P544" i="3" s="1"/>
  <c r="P328" i="3"/>
  <c r="O328" i="3"/>
  <c r="O24" i="2"/>
  <c r="O20" i="3"/>
  <c r="L18" i="3"/>
  <c r="O18" i="3" s="1"/>
  <c r="O419" i="3"/>
  <c r="L414" i="3"/>
  <c r="O414" i="3" s="1"/>
  <c r="K226" i="3"/>
  <c r="I180" i="3"/>
  <c r="K180" i="3" s="1"/>
  <c r="P14" i="1"/>
  <c r="L10" i="3"/>
  <c r="O13" i="3"/>
  <c r="L11" i="3"/>
  <c r="P24" i="3"/>
  <c r="P421" i="3"/>
  <c r="M419" i="3"/>
  <c r="P20" i="3"/>
  <c r="P16" i="3"/>
  <c r="M14" i="3"/>
  <c r="P14" i="3" s="1"/>
  <c r="L14" i="2"/>
  <c r="O14" i="2" s="1"/>
  <c r="O66" i="2"/>
  <c r="M544" i="2"/>
  <c r="P544" i="2" s="1"/>
  <c r="P18" i="2"/>
  <c r="O20" i="2"/>
  <c r="O421" i="1"/>
  <c r="P20" i="2"/>
  <c r="P9" i="2"/>
  <c r="M37" i="2"/>
  <c r="J592" i="1"/>
  <c r="K592" i="1" s="1"/>
  <c r="P419" i="1"/>
  <c r="P525" i="2"/>
  <c r="M523" i="2"/>
  <c r="P523" i="2" s="1"/>
  <c r="O41" i="2"/>
  <c r="L37" i="2"/>
  <c r="L414" i="2"/>
  <c r="O414" i="2" s="1"/>
  <c r="L10" i="2"/>
  <c r="O10" i="2" s="1"/>
  <c r="O13" i="2"/>
  <c r="P13" i="2"/>
  <c r="M10" i="2"/>
  <c r="P10" i="2" s="1"/>
  <c r="O149" i="1"/>
  <c r="P149" i="1"/>
  <c r="P421" i="1"/>
  <c r="O9" i="2"/>
  <c r="O30" i="2"/>
  <c r="L28" i="2"/>
  <c r="O28" i="2" s="1"/>
  <c r="P421" i="2"/>
  <c r="M419" i="2"/>
  <c r="L11" i="2"/>
  <c r="P261" i="2"/>
  <c r="L18" i="2"/>
  <c r="O18" i="2" s="1"/>
  <c r="P16" i="2"/>
  <c r="M14" i="2"/>
  <c r="P14" i="2" s="1"/>
  <c r="P33" i="2"/>
  <c r="M30" i="2"/>
  <c r="M31" i="2"/>
  <c r="P31" i="2" s="1"/>
  <c r="M11" i="2"/>
  <c r="N37" i="2"/>
  <c r="O165" i="1"/>
  <c r="P658" i="1"/>
  <c r="P18" i="1"/>
  <c r="P21" i="1"/>
  <c r="O687" i="1"/>
  <c r="P687" i="1"/>
  <c r="N685" i="1"/>
  <c r="N31" i="1"/>
  <c r="P33" i="1"/>
  <c r="N30" i="1"/>
  <c r="O33" i="1"/>
  <c r="N444" i="1"/>
  <c r="P446" i="1"/>
  <c r="O446" i="1"/>
  <c r="M37" i="1"/>
  <c r="P20" i="1"/>
  <c r="O41" i="1"/>
  <c r="L37" i="1"/>
  <c r="O447" i="1"/>
  <c r="P632" i="1"/>
  <c r="P9" i="1"/>
  <c r="M414" i="1"/>
  <c r="O18" i="1"/>
  <c r="O526" i="1"/>
  <c r="P526" i="1"/>
  <c r="P16" i="1"/>
  <c r="M10" i="1"/>
  <c r="M8" i="1" s="1"/>
  <c r="N13" i="1"/>
  <c r="O9" i="1"/>
  <c r="O16" i="1"/>
  <c r="L14" i="1"/>
  <c r="O14" i="1" s="1"/>
  <c r="N523" i="1"/>
  <c r="P525" i="1"/>
  <c r="O525" i="1"/>
  <c r="L414" i="1"/>
  <c r="O631" i="1"/>
  <c r="N629" i="1"/>
  <c r="O20" i="1"/>
  <c r="O8" i="15" l="1"/>
  <c r="P37" i="15"/>
  <c r="O37" i="15"/>
  <c r="P37" i="13"/>
  <c r="P11" i="15"/>
  <c r="O37" i="13"/>
  <c r="O10" i="15"/>
  <c r="O11" i="15"/>
  <c r="P30" i="15"/>
  <c r="M28" i="15"/>
  <c r="P28" i="15" s="1"/>
  <c r="P10" i="15"/>
  <c r="M8" i="15"/>
  <c r="P8" i="15" s="1"/>
  <c r="P419" i="15"/>
  <c r="M414" i="15"/>
  <c r="P414" i="15" s="1"/>
  <c r="P11" i="13"/>
  <c r="P37" i="14"/>
  <c r="P37" i="11"/>
  <c r="M10" i="14"/>
  <c r="P13" i="14"/>
  <c r="M11" i="14"/>
  <c r="P11" i="14" s="1"/>
  <c r="O10" i="14"/>
  <c r="L8" i="14"/>
  <c r="O8" i="14" s="1"/>
  <c r="O37" i="11"/>
  <c r="P467" i="14"/>
  <c r="M414" i="14"/>
  <c r="P414" i="14" s="1"/>
  <c r="P30" i="14"/>
  <c r="M28" i="14"/>
  <c r="P28" i="14" s="1"/>
  <c r="O37" i="14"/>
  <c r="P18" i="13"/>
  <c r="M8" i="13"/>
  <c r="P8" i="13" s="1"/>
  <c r="O18" i="12"/>
  <c r="M414" i="13"/>
  <c r="P414" i="13" s="1"/>
  <c r="O10" i="12"/>
  <c r="P30" i="13"/>
  <c r="M28" i="13"/>
  <c r="P28" i="13" s="1"/>
  <c r="O10" i="13"/>
  <c r="L8" i="13"/>
  <c r="O8" i="13" s="1"/>
  <c r="P13" i="12"/>
  <c r="M10" i="12"/>
  <c r="M11" i="12"/>
  <c r="P11" i="12" s="1"/>
  <c r="O8" i="11"/>
  <c r="P30" i="12"/>
  <c r="M28" i="12"/>
  <c r="P28" i="12" s="1"/>
  <c r="L8" i="12"/>
  <c r="O8" i="12" s="1"/>
  <c r="P14" i="12"/>
  <c r="P444" i="12"/>
  <c r="M414" i="12"/>
  <c r="P414" i="12" s="1"/>
  <c r="M414" i="11"/>
  <c r="P414" i="11" s="1"/>
  <c r="P37" i="10"/>
  <c r="M10" i="11"/>
  <c r="P13" i="11"/>
  <c r="M11" i="11"/>
  <c r="P11" i="11" s="1"/>
  <c r="P30" i="11"/>
  <c r="M28" i="11"/>
  <c r="P28" i="11" s="1"/>
  <c r="O10" i="11"/>
  <c r="P10" i="10"/>
  <c r="P37" i="9"/>
  <c r="O37" i="10"/>
  <c r="O37" i="9"/>
  <c r="M8" i="10"/>
  <c r="P8" i="10" s="1"/>
  <c r="P467" i="10"/>
  <c r="M414" i="10"/>
  <c r="P414" i="10" s="1"/>
  <c r="P30" i="10"/>
  <c r="M28" i="10"/>
  <c r="P28" i="10" s="1"/>
  <c r="O10" i="10"/>
  <c r="P11" i="10"/>
  <c r="O8" i="10"/>
  <c r="P10" i="9"/>
  <c r="M8" i="9"/>
  <c r="P8" i="9" s="1"/>
  <c r="O37" i="7"/>
  <c r="P30" i="9"/>
  <c r="M28" i="9"/>
  <c r="P28" i="9" s="1"/>
  <c r="O11" i="9"/>
  <c r="P444" i="9"/>
  <c r="M414" i="9"/>
  <c r="P414" i="9" s="1"/>
  <c r="P37" i="7"/>
  <c r="O10" i="9"/>
  <c r="L8" i="9"/>
  <c r="O8" i="9" s="1"/>
  <c r="P11" i="9"/>
  <c r="M414" i="8"/>
  <c r="P414" i="8" s="1"/>
  <c r="P419" i="8"/>
  <c r="P10" i="8"/>
  <c r="M8" i="8"/>
  <c r="P8" i="8" s="1"/>
  <c r="P30" i="8"/>
  <c r="M28" i="8"/>
  <c r="P28" i="8" s="1"/>
  <c r="O10" i="8"/>
  <c r="L8" i="8"/>
  <c r="O8" i="8" s="1"/>
  <c r="P11" i="8"/>
  <c r="P18" i="7"/>
  <c r="O11" i="7"/>
  <c r="O11" i="2"/>
  <c r="P30" i="7"/>
  <c r="M28" i="7"/>
  <c r="P28" i="7" s="1"/>
  <c r="M10" i="7"/>
  <c r="P13" i="7"/>
  <c r="M11" i="7"/>
  <c r="P11" i="7" s="1"/>
  <c r="P11" i="2"/>
  <c r="O10" i="7"/>
  <c r="L8" i="7"/>
  <c r="O8" i="7" s="1"/>
  <c r="P419" i="7"/>
  <c r="M414" i="7"/>
  <c r="P414" i="7" s="1"/>
  <c r="O37" i="6"/>
  <c r="P37" i="6"/>
  <c r="O37" i="3"/>
  <c r="P10" i="6"/>
  <c r="M8" i="6"/>
  <c r="P8" i="6" s="1"/>
  <c r="P30" i="6"/>
  <c r="M28" i="6"/>
  <c r="P28" i="6" s="1"/>
  <c r="O10" i="6"/>
  <c r="L8" i="6"/>
  <c r="O8" i="6" s="1"/>
  <c r="P37" i="5"/>
  <c r="P419" i="6"/>
  <c r="M414" i="6"/>
  <c r="P414" i="6" s="1"/>
  <c r="O37" i="5"/>
  <c r="P37" i="1"/>
  <c r="O37" i="1"/>
  <c r="P31" i="5"/>
  <c r="M10" i="5"/>
  <c r="P13" i="5"/>
  <c r="M11" i="5"/>
  <c r="L8" i="2"/>
  <c r="O8" i="2" s="1"/>
  <c r="P629" i="5"/>
  <c r="P30" i="5"/>
  <c r="M28" i="5"/>
  <c r="P28" i="5" s="1"/>
  <c r="O30" i="5"/>
  <c r="N28" i="5"/>
  <c r="O28" i="5" s="1"/>
  <c r="N414" i="5"/>
  <c r="O414" i="5" s="1"/>
  <c r="O629" i="5"/>
  <c r="N10" i="5"/>
  <c r="N8" i="5" s="1"/>
  <c r="O8" i="5" s="1"/>
  <c r="N11" i="5"/>
  <c r="O11" i="5" s="1"/>
  <c r="O13" i="5"/>
  <c r="M414" i="4"/>
  <c r="P414" i="4" s="1"/>
  <c r="O37" i="4"/>
  <c r="P37" i="4"/>
  <c r="O11" i="4"/>
  <c r="M10" i="4"/>
  <c r="P13" i="4"/>
  <c r="M11" i="4"/>
  <c r="P11" i="4" s="1"/>
  <c r="O10" i="4"/>
  <c r="L8" i="4"/>
  <c r="O8" i="4" s="1"/>
  <c r="P30" i="4"/>
  <c r="M28" i="4"/>
  <c r="P28" i="4" s="1"/>
  <c r="P37" i="3"/>
  <c r="M414" i="3"/>
  <c r="P414" i="3" s="1"/>
  <c r="P419" i="3"/>
  <c r="P13" i="3"/>
  <c r="M10" i="3"/>
  <c r="M11" i="3"/>
  <c r="P11" i="3" s="1"/>
  <c r="O11" i="3"/>
  <c r="P30" i="3"/>
  <c r="M28" i="3"/>
  <c r="P28" i="3" s="1"/>
  <c r="O10" i="3"/>
  <c r="L8" i="3"/>
  <c r="O8" i="3" s="1"/>
  <c r="O37" i="2"/>
  <c r="P419" i="2"/>
  <c r="M414" i="2"/>
  <c r="P414" i="2" s="1"/>
  <c r="P30" i="2"/>
  <c r="M28" i="2"/>
  <c r="P28" i="2" s="1"/>
  <c r="P37" i="2"/>
  <c r="M8" i="2"/>
  <c r="P8" i="2" s="1"/>
  <c r="O685" i="1"/>
  <c r="P685" i="1"/>
  <c r="N414" i="1"/>
  <c r="O414" i="1" s="1"/>
  <c r="P444" i="1"/>
  <c r="O444" i="1"/>
  <c r="O629" i="1"/>
  <c r="P629" i="1"/>
  <c r="N10" i="1"/>
  <c r="P10" i="1" s="1"/>
  <c r="P13" i="1"/>
  <c r="N11" i="1"/>
  <c r="O13" i="1"/>
  <c r="N28" i="1"/>
  <c r="P30" i="1"/>
  <c r="O30" i="1"/>
  <c r="P523" i="1"/>
  <c r="O523" i="1"/>
  <c r="P31" i="1"/>
  <c r="O31" i="1"/>
  <c r="P10" i="14" l="1"/>
  <c r="M8" i="14"/>
  <c r="P8" i="14" s="1"/>
  <c r="P10" i="12"/>
  <c r="M8" i="12"/>
  <c r="P8" i="12" s="1"/>
  <c r="P10" i="11"/>
  <c r="M8" i="11"/>
  <c r="P8" i="11" s="1"/>
  <c r="P10" i="7"/>
  <c r="M8" i="7"/>
  <c r="P8" i="7" s="1"/>
  <c r="P11" i="5"/>
  <c r="O10" i="5"/>
  <c r="P414" i="5"/>
  <c r="P10" i="5"/>
  <c r="M8" i="5"/>
  <c r="P8" i="5" s="1"/>
  <c r="P10" i="4"/>
  <c r="M8" i="4"/>
  <c r="P8" i="4" s="1"/>
  <c r="P10" i="3"/>
  <c r="M8" i="3"/>
  <c r="P8" i="3" s="1"/>
  <c r="P414" i="1"/>
  <c r="O10" i="1"/>
  <c r="N8" i="1"/>
  <c r="O11" i="1"/>
  <c r="P11" i="1"/>
  <c r="P28" i="1"/>
  <c r="O28" i="1"/>
  <c r="P8" i="1" l="1"/>
  <c r="O8" i="1"/>
</calcChain>
</file>

<file path=xl/sharedStrings.xml><?xml version="1.0" encoding="utf-8"?>
<sst xmlns="http://schemas.openxmlformats.org/spreadsheetml/2006/main" count="23314" uniqueCount="355">
  <si>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</si>
  <si>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</si>
  <si>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</si>
  <si>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</si>
  <si>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</si>
  <si>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</si>
  <si>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</si>
  <si>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</si>
  <si>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</si>
  <si>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</si>
  <si>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</si>
  <si>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</si>
  <si>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</si>
  <si>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</si>
  <si>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</si>
  <si>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</si>
  <si>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</si>
  <si>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</si>
  <si>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</si>
  <si>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</si>
  <si>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</si>
  <si>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</si>
  <si>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</si>
  <si>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</si>
  <si>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</si>
  <si>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</si>
  <si>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</si>
  <si>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</si>
  <si>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</si>
  <si>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</si>
  <si>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</si>
  <si>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</si>
  <si>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</si>
  <si>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</si>
  <si>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</si>
  <si>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</si>
  <si>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</si>
  <si>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</si>
  <si>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</si>
  <si>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</si>
  <si>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</si>
  <si>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</si>
  <si>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</si>
  <si>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</si>
  <si>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</si>
  <si>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</si>
  <si>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</si>
  <si>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</si>
  <si>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</si>
  <si>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</si>
  <si>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</si>
  <si>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</si>
  <si>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</si>
  <si>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</si>
  <si>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</si>
  <si>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</si>
  <si>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</si>
  <si>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</si>
  <si>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</si>
  <si>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</si>
  <si>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</si>
  <si>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</si>
  <si>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</si>
  <si>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</si>
  <si>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</si>
  <si>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</si>
  <si>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</si>
  <si>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</si>
  <si>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</si>
  <si>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</si>
  <si>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</si>
  <si>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</si>
  <si>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</si>
  <si>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</si>
  <si>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</si>
  <si>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</si>
  <si>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</si>
  <si>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</si>
  <si>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</si>
  <si>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</si>
  <si>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</si>
  <si>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</si>
  <si>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</si>
  <si>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</si>
  <si>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</si>
  <si>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</si>
  <si>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</si>
  <si>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</si>
  <si>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</si>
  <si>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</si>
  <si>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</si>
  <si>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</si>
  <si>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</si>
  <si>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</si>
  <si>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</si>
  <si>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</si>
  <si>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</si>
  <si>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</si>
  <si>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</si>
  <si>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</si>
  <si>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</si>
  <si>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</si>
  <si>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</si>
  <si>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</si>
  <si>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</si>
  <si>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</si>
  <si>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</si>
  <si>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</si>
  <si>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</si>
  <si>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</si>
  <si>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</si>
  <si>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</si>
  <si>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</si>
  <si>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</si>
  <si>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</si>
  <si>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</si>
  <si>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</si>
  <si>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</si>
  <si>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</si>
  <si>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</si>
  <si>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</si>
  <si>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</si>
  <si>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</si>
  <si>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</si>
  <si>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</si>
  <si>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</si>
  <si>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</si>
  <si>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</si>
  <si>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</si>
  <si>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</si>
  <si>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</si>
  <si>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</si>
  <si>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</si>
  <si>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</si>
  <si>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</si>
  <si>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</si>
  <si>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</si>
  <si>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</si>
  <si>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</si>
  <si>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</si>
  <si>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</si>
  <si>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</si>
  <si>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</si>
  <si>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</si>
  <si>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</si>
  <si>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</si>
  <si>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</si>
  <si>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</si>
  <si>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</si>
  <si>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</si>
  <si>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</si>
  <si>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</si>
  <si>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</si>
  <si>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</si>
  <si>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</si>
  <si>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</si>
  <si>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</si>
  <si>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</si>
  <si>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</si>
  <si>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</si>
  <si>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</si>
  <si>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</si>
  <si>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</si>
  <si>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</si>
  <si>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</si>
  <si>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</si>
  <si>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</si>
  <si>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</si>
  <si>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</si>
  <si>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</si>
  <si>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</si>
  <si>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</si>
  <si>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</si>
  <si>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</si>
  <si>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</si>
  <si>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</si>
  <si>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</si>
  <si>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</si>
  <si>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</si>
  <si>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</si>
  <si>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</si>
  <si>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</si>
  <si>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</si>
  <si>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</si>
  <si>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</si>
  <si>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</si>
  <si>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</si>
  <si>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</si>
  <si>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</si>
  <si>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</si>
  <si>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</si>
  <si>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</si>
  <si>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</si>
  <si>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</si>
  <si>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</si>
  <si>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</si>
  <si>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</si>
  <si>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</si>
  <si>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</si>
  <si>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</si>
  <si>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</si>
  <si>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</si>
  <si>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</si>
  <si>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</si>
  <si>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</si>
  <si>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</si>
  <si>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</si>
  <si>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</si>
  <si>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</si>
  <si>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</si>
  <si>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</si>
  <si>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</si>
  <si>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</si>
  <si>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</si>
  <si>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</si>
  <si>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</si>
  <si>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</si>
  <si>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</si>
  <si>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</si>
  <si>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</si>
  <si>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</si>
  <si>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</si>
  <si>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</si>
  <si>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</si>
  <si>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</si>
  <si>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</si>
  <si>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</si>
  <si>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</si>
  <si>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</si>
  <si>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</si>
  <si>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</si>
  <si>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</si>
  <si>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</si>
  <si>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</si>
  <si>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</si>
  <si>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</si>
  <si>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</si>
  <si>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</si>
  <si>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</si>
  <si>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</si>
  <si>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</si>
  <si>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</si>
  <si>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</si>
  <si>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</si>
  <si>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</si>
  <si>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</si>
  <si>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</si>
  <si>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</si>
  <si>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</si>
  <si>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</si>
  <si>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</si>
  <si>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</si>
  <si>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</si>
  <si>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</si>
  <si>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</si>
  <si>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</si>
  <si>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</si>
  <si>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</si>
  <si>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</si>
  <si>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</si>
  <si>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</si>
  <si>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</si>
  <si>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</si>
  <si>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</si>
  <si>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</si>
  <si>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</si>
  <si>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</si>
  <si>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</si>
  <si>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</si>
  <si>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</si>
  <si>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</si>
  <si>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</si>
  <si>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</si>
  <si>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</si>
  <si>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</si>
  <si>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</si>
  <si>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</si>
  <si>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</si>
  <si>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</si>
  <si>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</si>
  <si>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</si>
  <si>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</si>
  <si>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</si>
  <si>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</si>
  <si>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</si>
  <si>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</si>
  <si>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</si>
  <si>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</si>
  <si>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</si>
  <si>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</si>
  <si>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</si>
  <si>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</si>
  <si>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</si>
  <si>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</si>
  <si>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</si>
  <si>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</si>
  <si>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</si>
  <si>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</si>
  <si>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</si>
  <si>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</si>
  <si>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</si>
  <si>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</si>
  <si>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</si>
  <si>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</si>
  <si>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</si>
  <si>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</si>
  <si>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</si>
  <si>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</si>
  <si>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</si>
  <si>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</si>
  <si>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</si>
  <si>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</si>
  <si>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</si>
  <si>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</si>
  <si>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</si>
  <si>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</si>
  <si>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</si>
  <si>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</si>
  <si>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</si>
  <si>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</si>
  <si>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</si>
  <si>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</si>
  <si>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</si>
  <si>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</si>
  <si>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</si>
  <si>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</si>
  <si>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</si>
  <si>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</si>
  <si>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</si>
  <si>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</si>
  <si>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</si>
  <si>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</si>
  <si>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</si>
  <si>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</si>
  <si>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</si>
  <si>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</si>
  <si>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</si>
  <si>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</si>
  <si>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</si>
  <si>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</si>
  <si>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</si>
  <si>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</si>
  <si>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</si>
  <si>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</si>
  <si>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</si>
  <si>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</si>
  <si>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</si>
  <si>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</si>
  <si>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</si>
  <si>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</si>
  <si>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</si>
  <si>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</si>
  <si>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</si>
  <si>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</si>
  <si>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31 กรกฎาคม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</si>
</sst>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45"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10" borderId="5" xfId="0" applyFont="1" applyFill="1" applyBorder="1"/>
    <xf numFmtId="0" fontId="2" fillId="10" borderId="1" xfId="0" applyFont="1" applyFill="1" applyBorder="1"/>
    <xf numFmtId="0" fontId="2" fillId="10" borderId="4" xfId="0" applyFont="1" applyFill="1" applyBorder="1"/>
    <xf numFmtId="0" fontId="4" fillId="10" borderId="4" xfId="0" applyFont="1" applyFill="1" applyBorder="1"/>
    <xf numFmtId="189" fontId="4" fillId="10" borderId="4" xfId="0" applyNumberFormat="1" applyFont="1" applyFill="1" applyBorder="1"/>
    <xf numFmtId="188" fontId="4" fillId="10" borderId="4" xfId="0" applyNumberFormat="1" applyFont="1" applyFill="1" applyBorder="1"/>
    <xf numFmtId="188" fontId="6" fillId="10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11" fillId="14" borderId="13" xfId="0" applyFont="1" applyFill="1" applyBorder="1"/>
    <xf numFmtId="0" fontId="2" fillId="14" borderId="14" xfId="0" applyFont="1" applyFill="1" applyBorder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12" fillId="18" borderId="13" xfId="0" applyFont="1" applyFill="1" applyBorder="1"/>
    <xf numFmtId="0" fontId="2" fillId="18" borderId="14" xfId="0" applyFont="1" applyFill="1" applyBorder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13" fillId="2" borderId="13" xfId="0" applyFont="1" applyFill="1" applyBorder="1"/>
    <xf numFmtId="0" fontId="2" fillId="2" borderId="14" xfId="0" applyFont="1" applyFill="1" applyBorder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/>
    <xf numFmtId="0" fontId="14" fillId="2" borderId="10" xfId="0" applyFont="1" applyFill="1" applyBorder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/>
    <xf numFmtId="188" fontId="9" fillId="0" borderId="11" xfId="0" applyNumberFormat="1" applyFont="1" applyBorder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/>
    <xf numFmtId="187" fontId="2" fillId="0" borderId="10" xfId="0" applyNumberFormat="1" applyFont="1" applyBorder="1"/>
    <xf numFmtId="0" fontId="16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0" fontId="6" fillId="0" borderId="11" xfId="0" applyFont="1" applyBorder="1" applyAlignment="1">
      <alignment horizontal="center" wrapText="1"/>
    </xf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9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21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23" fillId="2" borderId="10" xfId="0" applyFont="1" applyFill="1" applyBorder="1"/>
    <xf numFmtId="0" fontId="24" fillId="0" borderId="0" xfId="0" applyFont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5" fillId="2" borderId="18" xfId="0" applyFont="1" applyFill="1" applyBorder="1"/>
    <xf numFmtId="0" fontId="8" fillId="2" borderId="19" xfId="0" applyFont="1" applyFill="1" applyBorder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2" borderId="9" xfId="0" applyNumberFormat="1" applyFont="1" applyFill="1" applyBorder="1"/>
    <xf numFmtId="187" fontId="2" fillId="22" borderId="10" xfId="0" applyNumberFormat="1" applyFont="1" applyFill="1" applyBorder="1"/>
    <xf numFmtId="0" fontId="2" fillId="22" borderId="10" xfId="0" applyFont="1" applyFill="1" applyBorder="1"/>
    <xf numFmtId="0" fontId="2" fillId="22" borderId="11" xfId="0" applyFont="1" applyFill="1" applyBorder="1"/>
    <xf numFmtId="0" fontId="4" fillId="22" borderId="11" xfId="0" applyFont="1" applyFill="1" applyBorder="1"/>
    <xf numFmtId="189" fontId="4" fillId="22" borderId="11" xfId="0" applyNumberFormat="1" applyFont="1" applyFill="1" applyBorder="1"/>
    <xf numFmtId="188" fontId="4" fillId="22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3" borderId="9" xfId="0" applyNumberFormat="1" applyFont="1" applyFill="1" applyBorder="1"/>
    <xf numFmtId="0" fontId="2" fillId="23" borderId="10" xfId="0" applyFont="1" applyFill="1" applyBorder="1"/>
    <xf numFmtId="187" fontId="14" fillId="23" borderId="10" xfId="0" applyNumberFormat="1" applyFont="1" applyFill="1" applyBorder="1"/>
    <xf numFmtId="0" fontId="2" fillId="23" borderId="11" xfId="0" applyFont="1" applyFill="1" applyBorder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0" fontId="4" fillId="0" borderId="10" xfId="0" quotePrefix="1" applyFont="1" applyBorder="1"/>
    <xf numFmtId="187" fontId="2" fillId="23" borderId="10" xfId="0" applyNumberFormat="1" applyFont="1" applyFill="1" applyBorder="1"/>
    <xf numFmtId="187" fontId="8" fillId="23" borderId="10" xfId="0" applyNumberFormat="1" applyFont="1" applyFill="1" applyBorder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0" fontId="1" fillId="23" borderId="10" xfId="0" applyFont="1" applyFill="1" applyBorder="1"/>
    <xf numFmtId="189" fontId="6" fillId="23" borderId="11" xfId="0" applyNumberFormat="1" applyFont="1" applyFill="1" applyBorder="1"/>
    <xf numFmtId="188" fontId="6" fillId="23" borderId="11" xfId="0" applyNumberFormat="1" applyFont="1" applyFill="1" applyBorder="1"/>
    <xf numFmtId="0" fontId="28" fillId="2" borderId="13" xfId="0" quotePrefix="1" applyFont="1" applyFill="1" applyBorder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10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/>
    <xf numFmtId="187" fontId="1" fillId="2" borderId="10" xfId="0" applyNumberFormat="1" applyFont="1" applyFill="1" applyBorder="1"/>
    <xf numFmtId="187" fontId="29" fillId="23" borderId="9" xfId="0" applyNumberFormat="1" applyFont="1" applyFill="1" applyBorder="1"/>
    <xf numFmtId="187" fontId="29" fillId="23" borderId="10" xfId="0" applyNumberFormat="1" applyFont="1" applyFill="1" applyBorder="1"/>
    <xf numFmtId="0" fontId="30" fillId="23" borderId="10" xfId="0" applyFont="1" applyFill="1" applyBorder="1"/>
    <xf numFmtId="0" fontId="29" fillId="23" borderId="10" xfId="0" applyFont="1" applyFill="1" applyBorder="1"/>
    <xf numFmtId="0" fontId="29" fillId="23" borderId="11" xfId="0" applyFont="1" applyFill="1" applyBorder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/>
    <xf numFmtId="188" fontId="31" fillId="23" borderId="11" xfId="0" applyNumberFormat="1" applyFont="1" applyFill="1" applyBorder="1"/>
    <xf numFmtId="188" fontId="32" fillId="23" borderId="11" xfId="0" applyNumberFormat="1" applyFont="1" applyFill="1" applyBorder="1"/>
    <xf numFmtId="0" fontId="33" fillId="0" borderId="0" xfId="0" applyFont="1"/>
    <xf numFmtId="190" fontId="29" fillId="2" borderId="12" xfId="0" applyNumberFormat="1" applyFont="1" applyFill="1" applyBorder="1"/>
    <xf numFmtId="0" fontId="29" fillId="2" borderId="13" xfId="0" applyFont="1" applyFill="1" applyBorder="1"/>
    <xf numFmtId="0" fontId="30" fillId="2" borderId="13" xfId="0" applyFont="1" applyFill="1" applyBorder="1"/>
    <xf numFmtId="0" fontId="34" fillId="2" borderId="13" xfId="0" applyFont="1" applyFill="1" applyBorder="1"/>
    <xf numFmtId="0" fontId="29" fillId="2" borderId="14" xfId="0" applyFont="1" applyFill="1" applyBorder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/>
    <xf numFmtId="188" fontId="32" fillId="0" borderId="14" xfId="0" applyNumberFormat="1" applyFont="1" applyBorder="1"/>
    <xf numFmtId="188" fontId="31" fillId="2" borderId="14" xfId="0" applyNumberFormat="1" applyFont="1" applyFill="1" applyBorder="1"/>
    <xf numFmtId="188" fontId="32" fillId="2" borderId="14" xfId="0" applyNumberFormat="1" applyFont="1" applyFill="1" applyBorder="1"/>
    <xf numFmtId="0" fontId="29" fillId="0" borderId="0" xfId="0" applyFont="1"/>
    <xf numFmtId="190" fontId="29" fillId="2" borderId="9" xfId="0" applyNumberFormat="1" applyFont="1" applyFill="1" applyBorder="1"/>
    <xf numFmtId="187" fontId="29" fillId="2" borderId="10" xfId="0" applyNumberFormat="1" applyFont="1" applyFill="1" applyBorder="1"/>
    <xf numFmtId="0" fontId="29" fillId="2" borderId="10" xfId="0" applyFont="1" applyFill="1" applyBorder="1"/>
    <xf numFmtId="0" fontId="35" fillId="2" borderId="10" xfId="0" applyFont="1" applyFill="1" applyBorder="1"/>
    <xf numFmtId="0" fontId="29" fillId="2" borderId="11" xfId="0" applyFont="1" applyFill="1" applyBorder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/>
    <xf numFmtId="188" fontId="32" fillId="0" borderId="11" xfId="0" applyNumberFormat="1" applyFont="1" applyBorder="1"/>
    <xf numFmtId="188" fontId="32" fillId="2" borderId="11" xfId="0" applyNumberFormat="1" applyFont="1" applyFill="1" applyBorder="1"/>
    <xf numFmtId="187" fontId="29" fillId="2" borderId="9" xfId="0" applyNumberFormat="1" applyFont="1" applyFill="1" applyBorder="1"/>
    <xf numFmtId="187" fontId="30" fillId="2" borderId="10" xfId="0" applyNumberFormat="1" applyFont="1" applyFill="1" applyBorder="1"/>
    <xf numFmtId="189" fontId="32" fillId="2" borderId="11" xfId="0" applyNumberFormat="1" applyFont="1" applyFill="1" applyBorder="1"/>
    <xf numFmtId="0" fontId="29" fillId="2" borderId="0" xfId="0" applyFont="1" applyFill="1"/>
    <xf numFmtId="187" fontId="29" fillId="0" borderId="9" xfId="0" applyNumberFormat="1" applyFont="1" applyBorder="1"/>
    <xf numFmtId="187" fontId="29" fillId="0" borderId="10" xfId="0" applyNumberFormat="1" applyFont="1" applyBorder="1"/>
    <xf numFmtId="0" fontId="36" fillId="21" borderId="10" xfId="0" quotePrefix="1" applyFont="1" applyFill="1" applyBorder="1"/>
    <xf numFmtId="0" fontId="29" fillId="21" borderId="10" xfId="0" applyFont="1" applyFill="1" applyBorder="1"/>
    <xf numFmtId="0" fontId="29" fillId="21" borderId="11" xfId="0" applyFont="1" applyFill="1" applyBorder="1"/>
    <xf numFmtId="0" fontId="32" fillId="0" borderId="11" xfId="0" applyFont="1" applyBorder="1"/>
    <xf numFmtId="0" fontId="35" fillId="0" borderId="10" xfId="0" applyFont="1" applyBorder="1"/>
    <xf numFmtId="0" fontId="29" fillId="0" borderId="10" xfId="0" applyFont="1" applyBorder="1"/>
    <xf numFmtId="0" fontId="29" fillId="0" borderId="11" xfId="0" applyFont="1" applyBorder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/>
    <xf numFmtId="0" fontId="35" fillId="0" borderId="10" xfId="0" quotePrefix="1" applyFont="1" applyBorder="1"/>
    <xf numFmtId="187" fontId="7" fillId="23" borderId="9" xfId="0" applyNumberFormat="1" applyFont="1" applyFill="1" applyBorder="1"/>
    <xf numFmtId="187" fontId="7" fillId="23" borderId="10" xfId="0" applyNumberFormat="1" applyFont="1" applyFill="1" applyBorder="1"/>
    <xf numFmtId="0" fontId="15" fillId="23" borderId="10" xfId="0" applyFont="1" applyFill="1" applyBorder="1"/>
    <xf numFmtId="0" fontId="7" fillId="23" borderId="10" xfId="0" applyFont="1" applyFill="1" applyBorder="1"/>
    <xf numFmtId="0" fontId="7" fillId="23" borderId="11" xfId="0" applyFont="1" applyFill="1" applyBorder="1"/>
    <xf numFmtId="189" fontId="26" fillId="23" borderId="11" xfId="0" applyNumberFormat="1" applyFont="1" applyFill="1" applyBorder="1"/>
    <xf numFmtId="188" fontId="26" fillId="23" borderId="11" xfId="0" applyNumberFormat="1" applyFont="1" applyFill="1" applyBorder="1"/>
    <xf numFmtId="188" fontId="9" fillId="23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37" fillId="2" borderId="13" xfId="0" applyFont="1" applyFill="1" applyBorder="1"/>
    <xf numFmtId="0" fontId="7" fillId="2" borderId="14" xfId="0" applyFont="1" applyFill="1" applyBorder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7" fontId="7" fillId="2" borderId="10" xfId="0" applyNumberFormat="1" applyFont="1" applyFill="1" applyBorder="1"/>
    <xf numFmtId="188" fontId="9" fillId="10" borderId="11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/>
    <xf numFmtId="187" fontId="8" fillId="0" borderId="10" xfId="0" quotePrefix="1" applyNumberFormat="1" applyFont="1" applyBorder="1"/>
    <xf numFmtId="0" fontId="38" fillId="2" borderId="13" xfId="0" quotePrefix="1" applyFont="1" applyFill="1" applyBorder="1"/>
    <xf numFmtId="0" fontId="17" fillId="0" borderId="10" xfId="0" quotePrefix="1" applyFont="1" applyBorder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9" fillId="24" borderId="5" xfId="0" applyNumberFormat="1" applyFont="1" applyFill="1" applyBorder="1"/>
    <xf numFmtId="187" fontId="2" fillId="24" borderId="1" xfId="0" applyNumberFormat="1" applyFont="1" applyFill="1" applyBorder="1"/>
    <xf numFmtId="0" fontId="2" fillId="24" borderId="1" xfId="0" applyFont="1" applyFill="1" applyBorder="1"/>
    <xf numFmtId="0" fontId="2" fillId="24" borderId="4" xfId="0" applyFont="1" applyFill="1" applyBorder="1"/>
    <xf numFmtId="0" fontId="4" fillId="24" borderId="4" xfId="0" applyFont="1" applyFill="1" applyBorder="1"/>
    <xf numFmtId="189" fontId="4" fillId="24" borderId="4" xfId="0" applyNumberFormat="1" applyFont="1" applyFill="1" applyBorder="1"/>
    <xf numFmtId="188" fontId="4" fillId="24" borderId="4" xfId="0" applyNumberFormat="1" applyFont="1" applyFill="1" applyBorder="1"/>
    <xf numFmtId="187" fontId="1" fillId="25" borderId="9" xfId="0" applyNumberFormat="1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0" fontId="4" fillId="25" borderId="10" xfId="0" applyFont="1" applyFill="1" applyBorder="1"/>
    <xf numFmtId="189" fontId="4" fillId="25" borderId="10" xfId="0" applyNumberFormat="1" applyFont="1" applyFill="1" applyBorder="1"/>
    <xf numFmtId="189" fontId="4" fillId="25" borderId="11" xfId="0" applyNumberFormat="1" applyFont="1" applyFill="1" applyBorder="1"/>
    <xf numFmtId="188" fontId="4" fillId="25" borderId="11" xfId="0" applyNumberFormat="1" applyFont="1" applyFill="1" applyBorder="1"/>
    <xf numFmtId="190" fontId="2" fillId="26" borderId="9" xfId="0" applyNumberFormat="1" applyFont="1" applyFill="1" applyBorder="1"/>
    <xf numFmtId="0" fontId="1" fillId="26" borderId="10" xfId="0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2" fillId="26" borderId="11" xfId="0" applyFont="1" applyFill="1" applyBorder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/>
    <xf numFmtId="188" fontId="6" fillId="26" borderId="11" xfId="0" applyNumberFormat="1" applyFont="1" applyFill="1" applyBorder="1"/>
    <xf numFmtId="188" fontId="4" fillId="26" borderId="11" xfId="0" applyNumberFormat="1" applyFont="1" applyFill="1" applyBorder="1"/>
    <xf numFmtId="189" fontId="4" fillId="26" borderId="11" xfId="0" applyNumberFormat="1" applyFont="1" applyFill="1" applyBorder="1"/>
    <xf numFmtId="188" fontId="6" fillId="0" borderId="11" xfId="0" applyNumberFormat="1" applyFont="1" applyBorder="1"/>
    <xf numFmtId="0" fontId="40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40" fillId="0" borderId="13" xfId="0" applyFont="1" applyBorder="1"/>
    <xf numFmtId="0" fontId="6" fillId="0" borderId="13" xfId="0" applyFont="1" applyBorder="1"/>
    <xf numFmtId="0" fontId="4" fillId="0" borderId="14" xfId="0" applyFont="1" applyBorder="1" applyAlignment="1">
      <alignment horizontal="center"/>
    </xf>
    <xf numFmtId="0" fontId="4" fillId="0" borderId="1" xfId="0" applyFont="1" applyBorder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/>
    <xf numFmtId="187" fontId="1" fillId="27" borderId="5" xfId="0" applyNumberFormat="1" applyFont="1" applyFill="1" applyBorder="1"/>
    <xf numFmtId="187" fontId="2" fillId="27" borderId="1" xfId="0" applyNumberFormat="1" applyFont="1" applyFill="1" applyBorder="1"/>
    <xf numFmtId="0" fontId="2" fillId="27" borderId="1" xfId="0" applyFont="1" applyFill="1" applyBorder="1"/>
    <xf numFmtId="0" fontId="2" fillId="27" borderId="4" xfId="0" applyFont="1" applyFill="1" applyBorder="1"/>
    <xf numFmtId="0" fontId="4" fillId="27" borderId="4" xfId="0" applyFont="1" applyFill="1" applyBorder="1"/>
    <xf numFmtId="189" fontId="4" fillId="27" borderId="4" xfId="0" applyNumberFormat="1" applyFont="1" applyFill="1" applyBorder="1"/>
    <xf numFmtId="188" fontId="4" fillId="27" borderId="4" xfId="0" applyNumberFormat="1" applyFont="1" applyFill="1" applyBorder="1"/>
    <xf numFmtId="187" fontId="1" fillId="28" borderId="9" xfId="0" applyNumberFormat="1" applyFont="1" applyFill="1" applyBorder="1"/>
    <xf numFmtId="187" fontId="2" fillId="28" borderId="10" xfId="0" applyNumberFormat="1" applyFont="1" applyFill="1" applyBorder="1"/>
    <xf numFmtId="0" fontId="2" fillId="28" borderId="10" xfId="0" applyFont="1" applyFill="1" applyBorder="1"/>
    <xf numFmtId="0" fontId="2" fillId="28" borderId="11" xfId="0" applyFont="1" applyFill="1" applyBorder="1"/>
    <xf numFmtId="0" fontId="4" fillId="28" borderId="11" xfId="0" applyFont="1" applyFill="1" applyBorder="1"/>
    <xf numFmtId="189" fontId="4" fillId="28" borderId="11" xfId="0" applyNumberFormat="1" applyFont="1" applyFill="1" applyBorder="1"/>
    <xf numFmtId="188" fontId="4" fillId="28" borderId="11" xfId="0" applyNumberFormat="1" applyFont="1" applyFill="1" applyBorder="1"/>
    <xf numFmtId="187" fontId="2" fillId="29" borderId="9" xfId="0" applyNumberFormat="1" applyFont="1" applyFill="1" applyBorder="1"/>
    <xf numFmtId="0" fontId="1" fillId="29" borderId="10" xfId="0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/>
    <xf numFmtId="188" fontId="6" fillId="29" borderId="11" xfId="0" applyNumberFormat="1" applyFont="1" applyFill="1" applyBorder="1"/>
    <xf numFmtId="188" fontId="4" fillId="29" borderId="11" xfId="0" applyNumberFormat="1" applyFont="1" applyFill="1" applyBorder="1"/>
    <xf numFmtId="0" fontId="4" fillId="28" borderId="10" xfId="0" applyFont="1" applyFill="1" applyBorder="1"/>
    <xf numFmtId="190" fontId="2" fillId="29" borderId="9" xfId="0" applyNumberFormat="1" applyFont="1" applyFill="1" applyBorder="1"/>
    <xf numFmtId="190" fontId="2" fillId="29" borderId="10" xfId="0" applyNumberFormat="1" applyFont="1" applyFill="1" applyBorder="1"/>
    <xf numFmtId="187" fontId="2" fillId="29" borderId="10" xfId="0" applyNumberFormat="1" applyFont="1" applyFill="1" applyBorder="1"/>
    <xf numFmtId="189" fontId="4" fillId="29" borderId="11" xfId="0" applyNumberFormat="1" applyFont="1" applyFill="1" applyBorder="1"/>
    <xf numFmtId="0" fontId="41" fillId="23" borderId="10" xfId="0" applyFont="1" applyFill="1" applyBorder="1"/>
    <xf numFmtId="0" fontId="4" fillId="23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42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3" fillId="0" borderId="9" xfId="0" applyNumberFormat="1" applyFont="1" applyBorder="1"/>
    <xf numFmtId="187" fontId="44" fillId="8" borderId="9" xfId="0" applyNumberFormat="1" applyFont="1" applyFill="1" applyBorder="1"/>
    <xf numFmtId="187" fontId="44" fillId="8" borderId="10" xfId="0" applyNumberFormat="1" applyFont="1" applyFill="1" applyBorder="1"/>
    <xf numFmtId="0" fontId="45" fillId="8" borderId="10" xfId="0" applyFont="1" applyFill="1" applyBorder="1"/>
    <xf numFmtId="0" fontId="46" fillId="8" borderId="10" xfId="0" applyFont="1" applyFill="1" applyBorder="1"/>
    <xf numFmtId="0" fontId="44" fillId="8" borderId="10" xfId="0" applyFont="1" applyFill="1" applyBorder="1"/>
    <xf numFmtId="0" fontId="44" fillId="8" borderId="11" xfId="0" applyFont="1" applyFill="1" applyBorder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/>
    <xf numFmtId="188" fontId="47" fillId="8" borderId="11" xfId="0" applyNumberFormat="1" applyFont="1" applyFill="1" applyBorder="1"/>
    <xf numFmtId="188" fontId="48" fillId="8" borderId="11" xfId="0" applyNumberFormat="1" applyFont="1" applyFill="1" applyBorder="1"/>
    <xf numFmtId="0" fontId="49" fillId="0" borderId="0" xfId="0" applyFont="1"/>
    <xf numFmtId="187" fontId="44" fillId="30" borderId="9" xfId="0" applyNumberFormat="1" applyFont="1" applyFill="1" applyBorder="1"/>
    <xf numFmtId="187" fontId="44" fillId="30" borderId="10" xfId="0" applyNumberFormat="1" applyFont="1" applyFill="1" applyBorder="1"/>
    <xf numFmtId="0" fontId="45" fillId="30" borderId="10" xfId="0" applyFont="1" applyFill="1" applyBorder="1"/>
    <xf numFmtId="0" fontId="44" fillId="30" borderId="10" xfId="0" applyFont="1" applyFill="1" applyBorder="1"/>
    <xf numFmtId="0" fontId="44" fillId="30" borderId="11" xfId="0" applyFont="1" applyFill="1" applyBorder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/>
    <xf numFmtId="188" fontId="47" fillId="30" borderId="11" xfId="0" applyNumberFormat="1" applyFont="1" applyFill="1" applyBorder="1"/>
    <xf numFmtId="188" fontId="48" fillId="30" borderId="11" xfId="0" applyNumberFormat="1" applyFont="1" applyFill="1" applyBorder="1"/>
    <xf numFmtId="0" fontId="50" fillId="30" borderId="10" xfId="0" applyFont="1" applyFill="1" applyBorder="1"/>
    <xf numFmtId="0" fontId="48" fillId="30" borderId="11" xfId="0" applyFont="1" applyFill="1" applyBorder="1"/>
    <xf numFmtId="189" fontId="48" fillId="30" borderId="11" xfId="0" applyNumberFormat="1" applyFont="1" applyFill="1" applyBorder="1"/>
    <xf numFmtId="41" fontId="47" fillId="30" borderId="11" xfId="0" applyNumberFormat="1" applyFont="1" applyFill="1" applyBorder="1"/>
    <xf numFmtId="187" fontId="2" fillId="23" borderId="12" xfId="0" applyNumberFormat="1" applyFont="1" applyFill="1" applyBorder="1"/>
    <xf numFmtId="187" fontId="2" fillId="23" borderId="13" xfId="0" applyNumberFormat="1" applyFont="1" applyFill="1" applyBorder="1"/>
    <xf numFmtId="0" fontId="51" fillId="23" borderId="13" xfId="0" applyFont="1" applyFill="1" applyBorder="1"/>
    <xf numFmtId="0" fontId="2" fillId="23" borderId="14" xfId="0" applyFont="1" applyFill="1" applyBorder="1"/>
    <xf numFmtId="0" fontId="14" fillId="0" borderId="1" xfId="0" applyFont="1" applyBorder="1"/>
    <xf numFmtId="0" fontId="4" fillId="0" borderId="4" xfId="0" applyFont="1" applyBorder="1" applyAlignment="1">
      <alignment horizontal="center" wrapText="1"/>
    </xf>
    <xf numFmtId="188" fontId="4" fillId="2" borderId="4" xfId="0" applyNumberFormat="1" applyFont="1" applyFill="1" applyBorder="1"/>
    <xf numFmtId="187" fontId="1" fillId="31" borderId="5" xfId="0" applyNumberFormat="1" applyFont="1" applyFill="1" applyBorder="1"/>
    <xf numFmtId="187" fontId="2" fillId="31" borderId="1" xfId="0" applyNumberFormat="1" applyFont="1" applyFill="1" applyBorder="1"/>
    <xf numFmtId="0" fontId="2" fillId="31" borderId="1" xfId="0" applyFont="1" applyFill="1" applyBorder="1"/>
    <xf numFmtId="0" fontId="2" fillId="31" borderId="4" xfId="0" applyFont="1" applyFill="1" applyBorder="1"/>
    <xf numFmtId="0" fontId="4" fillId="31" borderId="4" xfId="0" applyFont="1" applyFill="1" applyBorder="1"/>
    <xf numFmtId="189" fontId="4" fillId="31" borderId="4" xfId="0" applyNumberFormat="1" applyFont="1" applyFill="1" applyBorder="1"/>
    <xf numFmtId="188" fontId="4" fillId="31" borderId="4" xfId="0" applyNumberFormat="1" applyFont="1" applyFill="1" applyBorder="1"/>
    <xf numFmtId="187" fontId="1" fillId="32" borderId="9" xfId="0" applyNumberFormat="1" applyFont="1" applyFill="1" applyBorder="1"/>
    <xf numFmtId="187" fontId="2" fillId="32" borderId="10" xfId="0" applyNumberFormat="1" applyFont="1" applyFill="1" applyBorder="1"/>
    <xf numFmtId="0" fontId="2" fillId="32" borderId="10" xfId="0" applyFont="1" applyFill="1" applyBorder="1"/>
    <xf numFmtId="0" fontId="4" fillId="32" borderId="11" xfId="0" applyFont="1" applyFill="1" applyBorder="1"/>
    <xf numFmtId="189" fontId="4" fillId="32" borderId="11" xfId="0" applyNumberFormat="1" applyFont="1" applyFill="1" applyBorder="1"/>
    <xf numFmtId="188" fontId="4" fillId="32" borderId="11" xfId="0" applyNumberFormat="1" applyFont="1" applyFill="1" applyBorder="1"/>
    <xf numFmtId="187" fontId="2" fillId="33" borderId="9" xfId="0" applyNumberFormat="1" applyFont="1" applyFill="1" applyBorder="1"/>
    <xf numFmtId="0" fontId="1" fillId="33" borderId="10" xfId="0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2" fillId="33" borderId="11" xfId="0" applyFont="1" applyFill="1" applyBorder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/>
    <xf numFmtId="188" fontId="6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/>
    <xf numFmtId="0" fontId="52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/>
    <xf numFmtId="189" fontId="4" fillId="10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4" borderId="9" xfId="0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4" fillId="34" borderId="11" xfId="0" applyFont="1" applyFill="1" applyBorder="1"/>
    <xf numFmtId="189" fontId="4" fillId="34" borderId="11" xfId="0" applyNumberFormat="1" applyFont="1" applyFill="1" applyBorder="1"/>
    <xf numFmtId="188" fontId="4" fillId="34" borderId="11" xfId="0" applyNumberFormat="1" applyFont="1" applyFill="1" applyBorder="1"/>
    <xf numFmtId="188" fontId="6" fillId="34" borderId="11" xfId="0" applyNumberFormat="1" applyFont="1" applyFill="1" applyBorder="1"/>
    <xf numFmtId="0" fontId="1" fillId="35" borderId="9" xfId="0" applyFont="1" applyFill="1" applyBorder="1"/>
    <xf numFmtId="0" fontId="2" fillId="35" borderId="10" xfId="0" applyFont="1" applyFill="1" applyBorder="1"/>
    <xf numFmtId="0" fontId="4" fillId="35" borderId="10" xfId="0" applyFont="1" applyFill="1" applyBorder="1"/>
    <xf numFmtId="189" fontId="4" fillId="35" borderId="10" xfId="0" applyNumberFormat="1" applyFont="1" applyFill="1" applyBorder="1"/>
    <xf numFmtId="188" fontId="4" fillId="35" borderId="10" xfId="0" applyNumberFormat="1" applyFont="1" applyFill="1" applyBorder="1"/>
    <xf numFmtId="188" fontId="4" fillId="35" borderId="11" xfId="0" applyNumberFormat="1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/>
    <xf numFmtId="0" fontId="2" fillId="36" borderId="10" xfId="0" applyFont="1" applyFill="1" applyBorder="1"/>
    <xf numFmtId="0" fontId="2" fillId="36" borderId="11" xfId="0" applyFont="1" applyFill="1" applyBorder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/>
    <xf numFmtId="188" fontId="6" fillId="36" borderId="11" xfId="0" applyNumberFormat="1" applyFont="1" applyFill="1" applyBorder="1"/>
    <xf numFmtId="188" fontId="4" fillId="36" borderId="11" xfId="0" applyNumberFormat="1" applyFont="1" applyFill="1" applyBorder="1"/>
    <xf numFmtId="0" fontId="2" fillId="36" borderId="9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4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/>
    <xf numFmtId="0" fontId="4" fillId="36" borderId="13" xfId="0" applyFont="1" applyFill="1" applyBorder="1"/>
    <xf numFmtId="0" fontId="4" fillId="36" borderId="14" xfId="0" applyFont="1" applyFill="1" applyBorder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/>
    <xf numFmtId="188" fontId="6" fillId="36" borderId="14" xfId="0" applyNumberFormat="1" applyFont="1" applyFill="1" applyBorder="1"/>
    <xf numFmtId="188" fontId="4" fillId="36" borderId="14" xfId="0" applyNumberFormat="1" applyFont="1" applyFill="1" applyBorder="1"/>
    <xf numFmtId="0" fontId="4" fillId="36" borderId="9" xfId="0" applyFont="1" applyFill="1" applyBorder="1"/>
    <xf numFmtId="187" fontId="4" fillId="36" borderId="10" xfId="0" applyNumberFormat="1" applyFont="1" applyFill="1" applyBorder="1"/>
    <xf numFmtId="0" fontId="4" fillId="36" borderId="10" xfId="0" applyFont="1" applyFill="1" applyBorder="1"/>
    <xf numFmtId="0" fontId="4" fillId="36" borderId="11" xfId="0" applyFont="1" applyFill="1" applyBorder="1"/>
    <xf numFmtId="190" fontId="4" fillId="2" borderId="9" xfId="0" applyNumberFormat="1" applyFont="1" applyFill="1" applyBorder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6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7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8" fillId="2" borderId="11" xfId="0" applyFont="1" applyFill="1" applyBorder="1"/>
    <xf numFmtId="187" fontId="59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/>
    <xf numFmtId="187" fontId="9" fillId="36" borderId="13" xfId="0" applyNumberFormat="1" applyFont="1" applyFill="1" applyBorder="1"/>
    <xf numFmtId="0" fontId="9" fillId="36" borderId="13" xfId="0" applyFont="1" applyFill="1" applyBorder="1"/>
    <xf numFmtId="0" fontId="9" fillId="36" borderId="14" xfId="0" applyFont="1" applyFill="1" applyBorder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/>
    <xf numFmtId="188" fontId="26" fillId="36" borderId="14" xfId="0" applyNumberFormat="1" applyFont="1" applyFill="1" applyBorder="1"/>
    <xf numFmtId="188" fontId="9" fillId="36" borderId="14" xfId="0" applyNumberFormat="1" applyFont="1" applyFill="1" applyBorder="1"/>
    <xf numFmtId="0" fontId="9" fillId="36" borderId="9" xfId="0" applyFont="1" applyFill="1" applyBorder="1"/>
    <xf numFmtId="187" fontId="9" fillId="36" borderId="10" xfId="0" applyNumberFormat="1" applyFont="1" applyFill="1" applyBorder="1"/>
    <xf numFmtId="0" fontId="9" fillId="36" borderId="10" xfId="0" applyFont="1" applyFill="1" applyBorder="1"/>
    <xf numFmtId="0" fontId="9" fillId="36" borderId="11" xfId="0" applyFont="1" applyFill="1" applyBorder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/>
    <xf numFmtId="188" fontId="26" fillId="36" borderId="11" xfId="0" applyNumberFormat="1" applyFont="1" applyFill="1" applyBorder="1"/>
    <xf numFmtId="188" fontId="9" fillId="36" borderId="11" xfId="0" applyNumberFormat="1" applyFont="1" applyFill="1" applyBorder="1"/>
    <xf numFmtId="0" fontId="60" fillId="2" borderId="10" xfId="0" applyFont="1" applyFill="1" applyBorder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/>
    <xf numFmtId="0" fontId="61" fillId="2" borderId="10" xfId="0" applyFont="1" applyFill="1" applyBorder="1"/>
    <xf numFmtId="187" fontId="9" fillId="2" borderId="9" xfId="0" applyNumberFormat="1" applyFont="1" applyFill="1" applyBorder="1"/>
    <xf numFmtId="0" fontId="62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7" borderId="9" xfId="0" applyFont="1" applyFill="1" applyBorder="1"/>
    <xf numFmtId="187" fontId="2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4" fillId="37" borderId="11" xfId="0" applyFont="1" applyFill="1" applyBorder="1"/>
    <xf numFmtId="189" fontId="4" fillId="37" borderId="11" xfId="0" applyNumberFormat="1" applyFont="1" applyFill="1" applyBorder="1"/>
    <xf numFmtId="188" fontId="4" fillId="37" borderId="11" xfId="0" applyNumberFormat="1" applyFont="1" applyFill="1" applyBorder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/>
    <xf numFmtId="187" fontId="4" fillId="38" borderId="13" xfId="0" applyNumberFormat="1" applyFont="1" applyFill="1" applyBorder="1"/>
    <xf numFmtId="0" fontId="4" fillId="38" borderId="13" xfId="0" applyFont="1" applyFill="1" applyBorder="1"/>
    <xf numFmtId="0" fontId="4" fillId="38" borderId="14" xfId="0" applyFont="1" applyFill="1" applyBorder="1"/>
    <xf numFmtId="189" fontId="4" fillId="38" borderId="14" xfId="0" applyNumberFormat="1" applyFont="1" applyFill="1" applyBorder="1"/>
    <xf numFmtId="188" fontId="4" fillId="38" borderId="14" xfId="0" applyNumberFormat="1" applyFont="1" applyFill="1" applyBorder="1"/>
    <xf numFmtId="190" fontId="4" fillId="39" borderId="9" xfId="0" applyNumberFormat="1" applyFont="1" applyFill="1" applyBorder="1"/>
    <xf numFmtId="0" fontId="6" fillId="39" borderId="10" xfId="0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0" fontId="63" fillId="21" borderId="10" xfId="0" quotePrefix="1" applyFont="1" applyFill="1" applyBorder="1"/>
    <xf numFmtId="0" fontId="4" fillId="2" borderId="0" xfId="0" applyFont="1" applyFill="1"/>
    <xf numFmtId="0" fontId="64" fillId="2" borderId="10" xfId="0" applyFont="1" applyFill="1" applyBorder="1"/>
    <xf numFmtId="0" fontId="6" fillId="38" borderId="13" xfId="0" applyFont="1" applyFill="1" applyBorder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/>
    <xf numFmtId="188" fontId="6" fillId="38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4" fillId="2" borderId="14" xfId="0" applyFont="1" applyFill="1" applyBorder="1"/>
    <xf numFmtId="187" fontId="4" fillId="39" borderId="9" xfId="0" applyNumberFormat="1" applyFont="1" applyFill="1" applyBorder="1"/>
    <xf numFmtId="187" fontId="6" fillId="39" borderId="10" xfId="0" applyNumberFormat="1" applyFont="1" applyFill="1" applyBorder="1"/>
    <xf numFmtId="187" fontId="4" fillId="39" borderId="10" xfId="0" applyNumberFormat="1" applyFont="1" applyFill="1" applyBorder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/>
    <xf numFmtId="189" fontId="4" fillId="10" borderId="3" xfId="0" applyNumberFormat="1" applyFont="1" applyFill="1" applyBorder="1"/>
    <xf numFmtId="188" fontId="4" fillId="0" borderId="3" xfId="0" applyNumberFormat="1" applyFont="1" applyBorder="1"/>
    <xf numFmtId="191" fontId="6" fillId="39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6" fillId="39" borderId="10" xfId="0" applyNumberFormat="1" applyFont="1" applyFill="1" applyBorder="1"/>
    <xf numFmtId="0" fontId="6" fillId="39" borderId="11" xfId="0" applyFont="1" applyFill="1" applyBorder="1" applyAlignment="1">
      <alignment horizontal="center"/>
    </xf>
    <xf numFmtId="187" fontId="9" fillId="40" borderId="9" xfId="0" applyNumberFormat="1" applyFont="1" applyFill="1" applyBorder="1"/>
    <xf numFmtId="187" fontId="9" fillId="40" borderId="10" xfId="0" applyNumberFormat="1" applyFont="1" applyFill="1" applyBorder="1"/>
    <xf numFmtId="187" fontId="26" fillId="40" borderId="10" xfId="0" applyNumberFormat="1" applyFont="1" applyFill="1" applyBorder="1"/>
    <xf numFmtId="0" fontId="9" fillId="40" borderId="10" xfId="0" applyFont="1" applyFill="1" applyBorder="1"/>
    <xf numFmtId="0" fontId="9" fillId="40" borderId="11" xfId="0" applyFont="1" applyFill="1" applyBorder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/>
    <xf numFmtId="188" fontId="26" fillId="40" borderId="11" xfId="0" applyNumberFormat="1" applyFont="1" applyFill="1" applyBorder="1"/>
    <xf numFmtId="188" fontId="9" fillId="40" borderId="11" xfId="0" applyNumberFormat="1" applyFont="1" applyFill="1" applyBorder="1"/>
    <xf numFmtId="0" fontId="9" fillId="0" borderId="10" xfId="0" quotePrefix="1" applyFont="1" applyBorder="1"/>
    <xf numFmtId="187" fontId="4" fillId="40" borderId="9" xfId="0" applyNumberFormat="1" applyFont="1" applyFill="1" applyBorder="1"/>
    <xf numFmtId="187" fontId="4" fillId="40" borderId="10" xfId="0" applyNumberFormat="1" applyFont="1" applyFill="1" applyBorder="1"/>
    <xf numFmtId="187" fontId="6" fillId="40" borderId="10" xfId="0" applyNumberFormat="1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/>
    <xf numFmtId="0" fontId="4" fillId="38" borderId="7" xfId="0" applyFont="1" applyFill="1" applyBorder="1"/>
    <xf numFmtId="0" fontId="4" fillId="38" borderId="8" xfId="0" applyFont="1" applyFill="1" applyBorder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/>
    <xf numFmtId="188" fontId="6" fillId="38" borderId="8" xfId="0" applyNumberFormat="1" applyFont="1" applyFill="1" applyBorder="1"/>
    <xf numFmtId="188" fontId="4" fillId="38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/>
    <xf numFmtId="0" fontId="4" fillId="39" borderId="13" xfId="0" applyFont="1" applyFill="1" applyBorder="1"/>
    <xf numFmtId="0" fontId="6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0" fontId="67" fillId="2" borderId="10" xfId="0" applyFont="1" applyFill="1" applyBorder="1"/>
    <xf numFmtId="0" fontId="68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9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/>
    <xf numFmtId="0" fontId="9" fillId="38" borderId="7" xfId="0" applyFont="1" applyFill="1" applyBorder="1"/>
    <xf numFmtId="0" fontId="9" fillId="38" borderId="8" xfId="0" applyFont="1" applyFill="1" applyBorder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/>
    <xf numFmtId="188" fontId="26" fillId="38" borderId="8" xfId="0" applyNumberFormat="1" applyFont="1" applyFill="1" applyBorder="1"/>
    <xf numFmtId="188" fontId="9" fillId="38" borderId="8" xfId="0" applyNumberFormat="1" applyFont="1" applyFill="1" applyBorder="1"/>
    <xf numFmtId="0" fontId="70" fillId="2" borderId="10" xfId="0" applyFont="1" applyFill="1" applyBorder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/>
    <xf numFmtId="0" fontId="9" fillId="38" borderId="13" xfId="0" applyFont="1" applyFill="1" applyBorder="1"/>
    <xf numFmtId="0" fontId="9" fillId="38" borderId="14" xfId="0" applyFont="1" applyFill="1" applyBorder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/>
    <xf numFmtId="188" fontId="26" fillId="38" borderId="14" xfId="0" applyNumberFormat="1" applyFont="1" applyFill="1" applyBorder="1"/>
    <xf numFmtId="188" fontId="9" fillId="38" borderId="14" xfId="0" applyNumberFormat="1" applyFont="1" applyFill="1" applyBorder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/>
    <xf numFmtId="0" fontId="9" fillId="38" borderId="10" xfId="0" applyFont="1" applyFill="1" applyBorder="1"/>
    <xf numFmtId="0" fontId="9" fillId="38" borderId="11" xfId="0" applyFont="1" applyFill="1" applyBorder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/>
    <xf numFmtId="188" fontId="26" fillId="38" borderId="11" xfId="0" applyNumberFormat="1" applyFont="1" applyFill="1" applyBorder="1"/>
    <xf numFmtId="188" fontId="9" fillId="38" borderId="11" xfId="0" applyNumberFormat="1" applyFont="1" applyFill="1" applyBorder="1"/>
    <xf numFmtId="187" fontId="9" fillId="0" borderId="11" xfId="0" applyNumberFormat="1" applyFont="1" applyBorder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/>
    <xf numFmtId="0" fontId="4" fillId="38" borderId="10" xfId="0" applyFont="1" applyFill="1" applyBorder="1"/>
    <xf numFmtId="0" fontId="4" fillId="38" borderId="11" xfId="0" applyFont="1" applyFill="1" applyBorder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/>
    <xf numFmtId="189" fontId="6" fillId="38" borderId="11" xfId="0" applyNumberFormat="1" applyFont="1" applyFill="1" applyBorder="1"/>
    <xf numFmtId="188" fontId="6" fillId="38" borderId="11" xfId="0" applyNumberFormat="1" applyFont="1" applyFill="1" applyBorder="1"/>
    <xf numFmtId="188" fontId="4" fillId="38" borderId="11" xfId="0" applyNumberFormat="1" applyFont="1" applyFill="1" applyBorder="1"/>
    <xf numFmtId="187" fontId="4" fillId="0" borderId="11" xfId="0" applyNumberFormat="1" applyFont="1" applyBorder="1"/>
    <xf numFmtId="187" fontId="9" fillId="38" borderId="10" xfId="0" applyNumberFormat="1" applyFont="1" applyFill="1" applyBorder="1"/>
    <xf numFmtId="187" fontId="73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10" borderId="9" xfId="0" applyFont="1" applyFill="1" applyBorder="1"/>
    <xf numFmtId="0" fontId="4" fillId="10" borderId="10" xfId="0" applyFont="1" applyFill="1" applyBorder="1"/>
    <xf numFmtId="187" fontId="4" fillId="10" borderId="10" xfId="0" applyNumberFormat="1" applyFont="1" applyFill="1" applyBorder="1"/>
    <xf numFmtId="0" fontId="4" fillId="10" borderId="11" xfId="0" applyFont="1" applyFill="1" applyBorder="1"/>
    <xf numFmtId="0" fontId="6" fillId="10" borderId="11" xfId="0" applyFont="1" applyFill="1" applyBorder="1"/>
    <xf numFmtId="0" fontId="4" fillId="2" borderId="4" xfId="0" applyFont="1" applyFill="1" applyBorder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/>
    <xf numFmtId="0" fontId="1" fillId="13" borderId="10" xfId="0" applyFont="1" applyFill="1" applyBorder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/>
    <xf numFmtId="0" fontId="1" fillId="16" borderId="10" xfId="0" applyFont="1" applyFill="1" applyBorder="1"/>
    <xf numFmtId="0" fontId="53" fillId="2" borderId="13" xfId="0" applyFont="1" applyFill="1" applyBorder="1"/>
    <xf numFmtId="0" fontId="3" fillId="0" borderId="13" xfId="0" applyFont="1" applyBorder="1"/>
    <xf numFmtId="0" fontId="55" fillId="2" borderId="10" xfId="0" applyFont="1" applyFill="1" applyBorder="1"/>
    <xf numFmtId="0" fontId="60" fillId="2" borderId="10" xfId="0" applyFont="1" applyFill="1" applyBorder="1"/>
    <xf numFmtId="0" fontId="65" fillId="2" borderId="13" xfId="0" applyFont="1" applyFill="1" applyBorder="1"/>
    <xf numFmtId="0" fontId="72" fillId="2" borderId="10" xfId="0" applyFont="1" applyFill="1" applyBorder="1"/>
    <xf numFmtId="0" fontId="1" fillId="41" borderId="5" xfId="0" applyFont="1" applyFill="1" applyBorder="1"/>
    <xf numFmtId="0" fontId="2" fillId="41" borderId="1" xfId="0" applyFont="1" applyFill="1" applyBorder="1"/>
    <xf numFmtId="0" fontId="2" fillId="41" borderId="4" xfId="0" applyFont="1" applyFill="1" applyBorder="1"/>
    <xf numFmtId="0" fontId="4" fillId="41" borderId="4" xfId="0" applyFont="1" applyFill="1" applyBorder="1"/>
    <xf numFmtId="189" fontId="4" fillId="41" borderId="4" xfId="0" applyNumberFormat="1" applyFont="1" applyFill="1" applyBorder="1"/>
    <xf numFmtId="188" fontId="4" fillId="41" borderId="4" xfId="0" applyNumberFormat="1" applyFont="1" applyFill="1" applyBorder="1"/>
    <xf numFmtId="188" fontId="6" fillId="41" borderId="4" xfId="0" applyNumberFormat="1" applyFont="1" applyFill="1" applyBorder="1"/>
    <xf numFmtId="0" fontId="5" fillId="14" borderId="13" xfId="0" applyFont="1" applyFill="1" applyBorder="1"/>
    <xf numFmtId="0" fontId="5" fillId="18" borderId="13" xfId="0" applyFont="1" applyFill="1" applyBorder="1"/>
    <xf numFmtId="0" fontId="5" fillId="2" borderId="13" xfId="0" applyFont="1" applyFill="1" applyBorder="1"/>
    <xf numFmtId="0" fontId="5" fillId="21" borderId="10" xfId="0" quotePrefix="1" applyFont="1" applyFill="1" applyBorder="1"/>
    <xf numFmtId="0" fontId="5" fillId="9" borderId="10" xfId="0" applyFont="1" applyFill="1" applyBorder="1"/>
    <xf numFmtId="0" fontId="23" fillId="2" borderId="18" xfId="0" applyFont="1" applyFill="1" applyBorder="1"/>
    <xf numFmtId="189" fontId="4" fillId="21" borderId="11" xfId="0" applyNumberFormat="1" applyFont="1" applyFill="1" applyBorder="1"/>
    <xf numFmtId="0" fontId="5" fillId="2" borderId="13" xfId="0" quotePrefix="1" applyFont="1" applyFill="1" applyBorder="1"/>
    <xf numFmtId="0" fontId="27" fillId="2" borderId="13" xfId="0" applyFont="1" applyFill="1" applyBorder="1"/>
    <xf numFmtId="188" fontId="9" fillId="2" borderId="14" xfId="0" applyNumberFormat="1" applyFont="1" applyFill="1" applyBorder="1"/>
    <xf numFmtId="188" fontId="32" fillId="10" borderId="11" xfId="0" applyNumberFormat="1" applyFont="1" applyFill="1" applyBorder="1"/>
    <xf numFmtId="187" fontId="14" fillId="0" borderId="10" xfId="0" quotePrefix="1" applyNumberFormat="1" applyFont="1" applyBorder="1"/>
    <xf numFmtId="0" fontId="5" fillId="23" borderId="10" xfId="0" applyFont="1" applyFill="1" applyBorder="1"/>
    <xf numFmtId="0" fontId="5" fillId="8" borderId="10" xfId="0" applyFont="1" applyFill="1" applyBorder="1"/>
    <xf numFmtId="0" fontId="5" fillId="23" borderId="13" xfId="0" applyFont="1" applyFill="1" applyBorder="1"/>
    <xf numFmtId="0" fontId="5" fillId="21" borderId="0" xfId="0" quotePrefix="1" applyFont="1" applyFill="1"/>
    <xf numFmtId="0" fontId="5" fillId="2" borderId="13" xfId="0" applyFont="1" applyFill="1" applyBorder="1"/>
    <xf numFmtId="0" fontId="5" fillId="21" borderId="13" xfId="0" quotePrefix="1" applyFont="1" applyFill="1" applyBorder="1"/>
    <xf numFmtId="187" fontId="55" fillId="21" borderId="10" xfId="0" applyNumberFormat="1" applyFont="1" applyFill="1" applyBorder="1"/>
    <xf numFmtId="187" fontId="55" fillId="21" borderId="10" xfId="0" quotePrefix="1" applyNumberFormat="1" applyFont="1" applyFill="1" applyBorder="1"/>
    <xf numFmtId="0" fontId="60" fillId="21" borderId="10" xfId="0" quotePrefix="1" applyFont="1" applyFill="1" applyBorder="1"/>
    <xf numFmtId="0" fontId="55" fillId="21" borderId="10" xfId="0" quotePrefix="1" applyFont="1" applyFill="1" applyBorder="1"/>
    <xf numFmtId="0" fontId="55" fillId="2" borderId="13" xfId="0" applyFont="1" applyFill="1" applyBorder="1"/>
    <xf numFmtId="0" fontId="55" fillId="21" borderId="10" xfId="0" applyFont="1" applyFill="1" applyBorder="1"/>
    <xf numFmtId="0" fontId="60" fillId="21" borderId="10" xfId="0" applyFont="1" applyFill="1" applyBorder="1"/>
    <xf numFmtId="0" fontId="61" fillId="2" borderId="10" xfId="0" applyFont="1" applyFill="1" applyBorder="1"/>
    <xf numFmtId="187" fontId="60" fillId="21" borderId="10" xfId="0" applyNumberFormat="1" applyFont="1" applyFill="1" applyBorder="1"/>
    <xf numFmtId="0" fontId="6" fillId="41" borderId="9" xfId="0" applyFont="1" applyFill="1" applyBorder="1"/>
    <xf numFmtId="0" fontId="4" fillId="41" borderId="10" xfId="0" applyFont="1" applyFill="1" applyBorder="1"/>
    <xf numFmtId="187" fontId="4" fillId="41" borderId="10" xfId="0" applyNumberFormat="1" applyFont="1" applyFill="1" applyBorder="1"/>
    <xf numFmtId="0" fontId="4" fillId="41" borderId="11" xfId="0" applyFont="1" applyFill="1" applyBorder="1"/>
    <xf numFmtId="0" fontId="6" fillId="41" borderId="11" xfId="0" applyFont="1" applyFill="1" applyBorder="1"/>
    <xf numFmtId="189" fontId="4" fillId="41" borderId="11" xfId="0" applyNumberFormat="1" applyFont="1" applyFill="1" applyBorder="1"/>
    <xf numFmtId="188" fontId="4" fillId="41" borderId="11" xfId="0" applyNumberFormat="1" applyFont="1" applyFill="1" applyBorder="1"/>
    <xf numFmtId="188" fontId="64" fillId="10" borderId="11" xfId="0" applyNumberFormat="1" applyFont="1" applyFill="1" applyBorder="1"/>
    <xf numFmtId="0" fontId="76" fillId="0" borderId="0" xfId="0" applyFont="1"/>
    <xf numFmtId="0" fontId="34" fillId="21" borderId="10" xfId="0" quotePrefix="1" applyFont="1" applyFill="1" applyBorder="1"/>
    <xf numFmtId="189" fontId="32" fillId="10" borderId="11" xfId="0" applyNumberFormat="1" applyFont="1" applyFill="1" applyBorder="1"/>
    <xf numFmtId="0" fontId="34" fillId="2" borderId="13" xfId="0" quotePrefix="1" applyFont="1" applyFill="1" applyBorder="1"/>
    <xf numFmtId="189" fontId="6" fillId="10" borderId="11" xfId="0" applyNumberFormat="1" applyFont="1" applyFill="1" applyBorder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91" fontId="4" fillId="10" borderId="11" xfId="0" applyNumberFormat="1" applyFont="1" applyFill="1" applyBorder="1"/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/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arbieBenz\Benz\&#3591;&#3634;&#3609;\&#3626;&#3623;&#3612;.%20&#3585;&#3605;&#3611;\&#3612;&#3621;&#3591;&#3634;&#3609;%202566\16.%2031%20&#3585;.&#3588;.%2066\S-&#3609;&#3619;&#3634;&#3608;&#3636;&#3623;&#3634;&#3626;.xlsx" TargetMode="External"/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นราธิวาส"/>
      <sheetName val="แผนปฏิบัติงาน"/>
      <sheetName val="ผลการเบิกจ่ายเงินงบประมาณ"/>
      <sheetName val="เป้าการใช้ งปม."/>
      <sheetName val="ผลการเบิกจ่ายเงินกองทุน"/>
      <sheetName val="สรุปภาพรวมการเบิกจ่าย "/>
      <sheetName val="Sheet12"/>
      <sheetName val="(ผตร.)แบบรายงานผลงาน"/>
      <sheetName val="นำเข้า studio"/>
      <sheetName val="(ผตร.)ปัญหาอุปสรรค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>
        <row r="28">
          <cell r="G28">
            <v>5400</v>
          </cell>
        </row>
      </sheetData>
      <sheetData sheetId="3" refreshError="1"/>
      <sheetData sheetId="4">
        <row r="7">
          <cell r="F7">
            <v>10400</v>
          </cell>
        </row>
        <row r="12">
          <cell r="F12">
            <v>11000</v>
          </cell>
        </row>
        <row r="21">
          <cell r="F21">
            <v>10746</v>
          </cell>
        </row>
        <row r="22">
          <cell r="F22">
            <v>102701</v>
          </cell>
        </row>
        <row r="23">
          <cell r="F23">
            <v>11904</v>
          </cell>
        </row>
        <row r="24">
          <cell r="F24">
            <v>0</v>
          </cell>
        </row>
        <row r="25">
          <cell r="F25">
            <v>4700</v>
          </cell>
        </row>
        <row r="26">
          <cell r="F26">
            <v>25290</v>
          </cell>
        </row>
        <row r="27">
          <cell r="F27">
            <v>76950</v>
          </cell>
        </row>
        <row r="28">
          <cell r="F28">
            <v>10334</v>
          </cell>
        </row>
        <row r="29">
          <cell r="F29">
            <v>3797</v>
          </cell>
        </row>
        <row r="30">
          <cell r="F30">
            <v>12375</v>
          </cell>
        </row>
        <row r="31">
          <cell r="F31">
            <v>1400</v>
          </cell>
        </row>
        <row r="32">
          <cell r="F32">
            <v>7600</v>
          </cell>
        </row>
        <row r="37">
          <cell r="F37">
            <v>95680</v>
          </cell>
        </row>
        <row r="47">
          <cell r="F47">
            <v>5760</v>
          </cell>
        </row>
        <row r="48">
          <cell r="F48">
            <v>36300</v>
          </cell>
        </row>
        <row r="49">
          <cell r="F49">
            <v>3000</v>
          </cell>
        </row>
        <row r="50">
          <cell r="F50">
            <v>9330</v>
          </cell>
        </row>
        <row r="51">
          <cell r="F51">
            <v>3500</v>
          </cell>
        </row>
        <row r="52">
          <cell r="F52">
            <v>26490</v>
          </cell>
        </row>
        <row r="53">
          <cell r="F53">
            <v>3800</v>
          </cell>
        </row>
        <row r="55">
          <cell r="F55">
            <v>5780</v>
          </cell>
        </row>
        <row r="56">
          <cell r="F56">
            <v>3000</v>
          </cell>
        </row>
        <row r="57">
          <cell r="F57">
            <v>13053</v>
          </cell>
        </row>
        <row r="58">
          <cell r="F58">
            <v>300</v>
          </cell>
        </row>
        <row r="59">
          <cell r="F59">
            <v>9400</v>
          </cell>
        </row>
        <row r="60">
          <cell r="F60">
            <v>66000</v>
          </cell>
        </row>
        <row r="61">
          <cell r="F61">
            <v>750</v>
          </cell>
        </row>
        <row r="62">
          <cell r="F62">
            <v>16740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10" width="16.90625" bestFit="1" customWidth="1"/>
    <col min="11" max="11" width="11.453125" bestFit="1" customWidth="1"/>
    <col min="12" max="13" width="22.453125" bestFit="1" customWidth="1"/>
    <col min="14" max="14" width="20.81640625" bestFit="1" customWidth="1"/>
    <col min="15" max="15" width="18.7265625" bestFit="1" customWidth="1"/>
    <col min="16" max="16" width="20.36328125" bestFit="1" customWidth="1"/>
  </cols>
  <sheetData>
    <row r="1" spans="1:26" ht="20.25" customHeight="1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20.25" customHeight="1">
      <c r="A2" s="763" t="s">
        <v>1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20.25" customHeight="1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20.25" customHeight="1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126649170.78</v>
      </c>
      <c r="N8" s="22">
        <f t="shared" ca="1" si="0"/>
        <v>81918784.069999993</v>
      </c>
      <c r="O8" s="22">
        <f t="shared" ref="O8:O16" ca="1" si="1">IF(L8&gt;0,N8*100/L8,0)</f>
        <v>65.897318588492908</v>
      </c>
      <c r="P8" s="22">
        <f t="shared" ref="P8:P16" ca="1" si="2">IF(M8&gt;0,N8*100/M8,0)</f>
        <v>64.681658447096851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126649170.78</v>
      </c>
      <c r="N10" s="30">
        <f t="shared" ca="1" si="4"/>
        <v>81918784.069999993</v>
      </c>
      <c r="O10" s="30">
        <f t="shared" ca="1" si="1"/>
        <v>65.897318588492908</v>
      </c>
      <c r="P10" s="30">
        <f t="shared" ca="1" si="2"/>
        <v>64.681658447096851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56760369.590000004</v>
      </c>
      <c r="N11" s="38">
        <f t="shared" ca="1" si="5"/>
        <v>44814538.879999988</v>
      </c>
      <c r="O11" s="38">
        <f t="shared" ca="1" si="1"/>
        <v>84.296683664932843</v>
      </c>
      <c r="P11" s="38">
        <f t="shared" ca="1" si="2"/>
        <v>78.953923668417019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56760369.590000004</v>
      </c>
      <c r="N13" s="45">
        <f t="shared" ca="1" si="7"/>
        <v>44814538.879999988</v>
      </c>
      <c r="O13" s="45">
        <f t="shared" ca="1" si="1"/>
        <v>84.296683664932843</v>
      </c>
      <c r="P13" s="45">
        <f t="shared" ca="1" si="2"/>
        <v>78.953923668417019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69888801.189999998</v>
      </c>
      <c r="N14" s="38">
        <f t="shared" ca="1" si="8"/>
        <v>37104245.189999998</v>
      </c>
      <c r="O14" s="38">
        <f t="shared" ca="1" si="1"/>
        <v>52.149398930989364</v>
      </c>
      <c r="P14" s="38">
        <f t="shared" ca="1" si="2"/>
        <v>53.090401549639175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69888801.189999998</v>
      </c>
      <c r="N16" s="52">
        <f t="shared" ca="1" si="10"/>
        <v>37104245.189999998</v>
      </c>
      <c r="O16" s="52">
        <f t="shared" ca="1" si="1"/>
        <v>52.149398930989364</v>
      </c>
      <c r="P16" s="52">
        <f t="shared" ca="1" si="2"/>
        <v>53.090401549639175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110165775.78</v>
      </c>
      <c r="N18" s="22">
        <f t="shared" ca="1" si="11"/>
        <v>69283221.169999987</v>
      </c>
      <c r="O18" s="22">
        <f t="shared" ref="O18:O26" ca="1" si="12">IF(L18&gt;0,N18*100/L18,0)</f>
        <v>64.018669565212477</v>
      </c>
      <c r="P18" s="22">
        <f t="shared" ref="P18:P26" ca="1" si="13">IF(M18&gt;0,N18*100/M18,0)</f>
        <v>62.889968031775965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110165775.78</v>
      </c>
      <c r="N20" s="30">
        <f t="shared" ca="1" si="15"/>
        <v>69283221.169999987</v>
      </c>
      <c r="O20" s="30">
        <f t="shared" ca="1" si="12"/>
        <v>64.018669565212477</v>
      </c>
      <c r="P20" s="30">
        <f t="shared" ca="1" si="13"/>
        <v>62.889968031775965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40276974.590000004</v>
      </c>
      <c r="N21" s="38">
        <f t="shared" ca="1" si="16"/>
        <v>32178975.979999989</v>
      </c>
      <c r="O21" s="38">
        <f t="shared" ca="1" si="12"/>
        <v>86.797635231337196</v>
      </c>
      <c r="P21" s="38">
        <f t="shared" ca="1" si="13"/>
        <v>79.894223207096118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40276974.590000004</v>
      </c>
      <c r="N23" s="45">
        <f ca="1">N46+N58+N71+N93+N124+N137+N154+N186+N170+N266+N282+N303+N320+N333+N350+N394+N407</f>
        <v>32178975.979999989</v>
      </c>
      <c r="O23" s="45">
        <f t="shared" ca="1" si="12"/>
        <v>86.797635231337196</v>
      </c>
      <c r="P23" s="45">
        <f t="shared" ca="1" si="13"/>
        <v>79.894223207096118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69888801.189999998</v>
      </c>
      <c r="N24" s="38">
        <f t="shared" ca="1" si="18"/>
        <v>37104245.189999998</v>
      </c>
      <c r="O24" s="38">
        <f t="shared" ca="1" si="12"/>
        <v>52.149398930989364</v>
      </c>
      <c r="P24" s="38">
        <f t="shared" ca="1" si="13"/>
        <v>53.090401549639175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69888801.189999998</v>
      </c>
      <c r="N26" s="52">
        <f t="shared" ca="1" si="20"/>
        <v>37104245.189999998</v>
      </c>
      <c r="O26" s="52">
        <f t="shared" ca="1" si="12"/>
        <v>52.149398930989364</v>
      </c>
      <c r="P26" s="52">
        <f t="shared" ca="1" si="13"/>
        <v>53.090401549639175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ca="1" si="21"/>
        <v>16483395</v>
      </c>
      <c r="N28" s="22">
        <f t="shared" ca="1" si="21"/>
        <v>12635562.9</v>
      </c>
      <c r="O28" s="22">
        <f t="shared" ref="O28:O37" ca="1" si="22">IF(L28&gt;0,N28*100/L28,0)</f>
        <v>78.533901702434719</v>
      </c>
      <c r="P28" s="22">
        <f t="shared" ref="P28:P31" ca="1" si="23">IF(M28&gt;0,N28*100/M28,0)</f>
        <v>76.656313217028412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ca="1" si="25"/>
        <v>16483395</v>
      </c>
      <c r="N30" s="30">
        <f t="shared" ca="1" si="25"/>
        <v>12635562.9</v>
      </c>
      <c r="O30" s="30">
        <f t="shared" ca="1" si="22"/>
        <v>78.533901702434719</v>
      </c>
      <c r="P30" s="30">
        <f t="shared" ca="1" si="23"/>
        <v>76.656313217028412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ca="1" si="26"/>
        <v>16483395</v>
      </c>
      <c r="N31" s="38">
        <f t="shared" ca="1" si="26"/>
        <v>12635562.9</v>
      </c>
      <c r="O31" s="38">
        <f t="shared" ca="1" si="22"/>
        <v>78.533901702434719</v>
      </c>
      <c r="P31" s="38">
        <f t="shared" ca="1" si="23"/>
        <v>76.656313217028412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ca="1" si="28"/>
        <v>16483395</v>
      </c>
      <c r="N33" s="45">
        <f t="shared" ca="1" si="28"/>
        <v>12635562.9</v>
      </c>
      <c r="O33" s="45">
        <f t="shared" ca="1" si="22"/>
        <v>78.533901702434719</v>
      </c>
      <c r="P33" s="45">
        <f t="shared" ref="P33:P37" ca="1" si="29">IF(M33&gt;0,N33*100/M33,0)</f>
        <v>76.656313217028412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107824775.78</v>
      </c>
      <c r="N37" s="59">
        <f ca="1">N41+N53+N66+N88+N119+N132+N149+N165+N181+N261+N277+N298+N315+N328+N345+N389+N402</f>
        <v>69283221.169999987</v>
      </c>
      <c r="O37" s="59">
        <f t="shared" ca="1" si="22"/>
        <v>64.018669565212477</v>
      </c>
      <c r="P37" s="59">
        <f t="shared" ca="1" si="29"/>
        <v>64.255381630806099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6400416.5899999999</v>
      </c>
      <c r="N41" s="85">
        <f t="shared" ca="1" si="33"/>
        <v>5215929.99</v>
      </c>
      <c r="O41" s="85">
        <f t="shared" ref="O41:O45" ca="1" si="34">IF(L41&gt;0,N41*100/L41,0)</f>
        <v>92.089923592233205</v>
      </c>
      <c r="P41" s="85">
        <f t="shared" ref="P41:P49" ca="1" si="35">IF(M41&gt;0,N41*100/M41,0)</f>
        <v>81.493601496961318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6400416.5899999999</v>
      </c>
      <c r="N43" s="92">
        <f t="shared" ca="1" si="37"/>
        <v>5215929.99</v>
      </c>
      <c r="O43" s="92">
        <f t="shared" ca="1" si="34"/>
        <v>92.089923592233205</v>
      </c>
      <c r="P43" s="92">
        <f t="shared" ca="1" si="35"/>
        <v>81.493601496961318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6400416.5899999999</v>
      </c>
      <c r="N44" s="38">
        <f t="shared" ca="1" si="38"/>
        <v>5215929.99</v>
      </c>
      <c r="O44" s="38">
        <f t="shared" ca="1" si="34"/>
        <v>92.089923592233205</v>
      </c>
      <c r="P44" s="38">
        <f t="shared" ca="1" si="35"/>
        <v>81.493601496961318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6400416.59)</f>
        <v>6400416.5899999999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5215929.99)</f>
        <v>5215929.99</v>
      </c>
      <c r="O46" s="45">
        <f ca="1">IF(M46&gt;0,N46*100/M46,0)</f>
        <v>81.493601496961318</v>
      </c>
      <c r="P46" s="45">
        <f t="shared" ca="1" si="35"/>
        <v>81.493601496961318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20.25" customHeight="1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20.25" customHeight="1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20.25" customHeight="1">
      <c r="A53" s="107"/>
      <c r="B53" s="108"/>
      <c r="C53" s="109" t="s">
        <v>16</v>
      </c>
      <c r="D53" s="11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41">L54+L55</f>
        <v>14064900</v>
      </c>
      <c r="M53" s="115">
        <f t="shared" ca="1" si="41"/>
        <v>12958408</v>
      </c>
      <c r="N53" s="115">
        <f t="shared" ca="1" si="41"/>
        <v>11939177.359999999</v>
      </c>
      <c r="O53" s="115">
        <f t="shared" ref="O53:O61" ca="1" si="42">IF(L53&gt;0,N53*100/L53,0)</f>
        <v>84.88632951531828</v>
      </c>
      <c r="P53" s="115">
        <f t="shared" ref="P53:P61" ca="1" si="43">IF(M53&gt;0,N53*100/M53,0)</f>
        <v>92.134599867514595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4" si="44">L57+L60</f>
        <v>0</v>
      </c>
      <c r="M54" s="122">
        <f t="shared" si="44"/>
        <v>0</v>
      </c>
      <c r="N54" s="122">
        <f t="shared" si="44"/>
        <v>0</v>
      </c>
      <c r="O54" s="122">
        <f t="shared" si="42"/>
        <v>0</v>
      </c>
      <c r="P54" s="122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ref="L55:N55" ca="1" si="45">L58+L61</f>
        <v>14064900</v>
      </c>
      <c r="M55" s="122">
        <f t="shared" ca="1" si="45"/>
        <v>12958408</v>
      </c>
      <c r="N55" s="122">
        <f t="shared" ca="1" si="45"/>
        <v>11939177.359999999</v>
      </c>
      <c r="O55" s="122">
        <f t="shared" ca="1" si="42"/>
        <v>84.88632951531828</v>
      </c>
      <c r="P55" s="122">
        <f t="shared" ca="1" si="43"/>
        <v>92.134599867514595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8976258</v>
      </c>
      <c r="N56" s="38">
        <f t="shared" ca="1" si="46"/>
        <v>8024127.3600000003</v>
      </c>
      <c r="O56" s="38">
        <f t="shared" ca="1" si="42"/>
        <v>91.015713799596199</v>
      </c>
      <c r="P56" s="38">
        <f t="shared" ca="1" si="43"/>
        <v>89.392788843636183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8976258)</f>
        <v>8976258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8024127.36)</f>
        <v>8024127.3600000003</v>
      </c>
      <c r="O58" s="45">
        <f t="shared" ca="1" si="42"/>
        <v>91.015713799596199</v>
      </c>
      <c r="P58" s="45">
        <f t="shared" ca="1" si="43"/>
        <v>89.392788843636183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3982150</v>
      </c>
      <c r="N59" s="38">
        <f t="shared" ca="1" si="47"/>
        <v>3915050</v>
      </c>
      <c r="O59" s="38">
        <f t="shared" ca="1" si="42"/>
        <v>74.590851067883477</v>
      </c>
      <c r="P59" s="38">
        <f t="shared" ca="1" si="43"/>
        <v>98.314980600931662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3982150)</f>
        <v>3982150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3915050)</f>
        <v>3915050</v>
      </c>
      <c r="O61" s="52">
        <f t="shared" ca="1" si="42"/>
        <v>74.590851067883477</v>
      </c>
      <c r="P61" s="52">
        <f t="shared" ca="1" si="43"/>
        <v>98.314980600931662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20.25" customHeight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20.25" customHeight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4" ca="1" si="48">I76</f>
        <v>4</v>
      </c>
      <c r="J64" s="143">
        <f t="shared" ca="1" si="48"/>
        <v>4</v>
      </c>
      <c r="K64" s="144">
        <f t="shared" ref="K64:K65" ca="1" si="49">IF(I64&gt;0,J64*100/I64,0)</f>
        <v>100</v>
      </c>
      <c r="L64" s="145"/>
      <c r="M64" s="145"/>
      <c r="N64" s="145"/>
      <c r="O64" s="145"/>
      <c r="P64" s="145"/>
    </row>
    <row r="65" spans="1:26" ht="20.25" customHeight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ref="I65:J65" ca="1" si="50">I77</f>
        <v>120</v>
      </c>
      <c r="J65" s="143">
        <f t="shared" ca="1" si="50"/>
        <v>120</v>
      </c>
      <c r="K65" s="144">
        <f t="shared" ca="1" si="49"/>
        <v>100</v>
      </c>
      <c r="L65" s="145"/>
      <c r="M65" s="145"/>
      <c r="N65" s="145"/>
      <c r="O65" s="145"/>
      <c r="P65" s="145"/>
    </row>
    <row r="66" spans="1:26" ht="20.25" customHeight="1">
      <c r="A66" s="146"/>
      <c r="B66" s="147"/>
      <c r="C66" s="148" t="s">
        <v>16</v>
      </c>
      <c r="D66" s="149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51">L67+L68</f>
        <v>2784200</v>
      </c>
      <c r="M66" s="154">
        <f t="shared" ca="1" si="51"/>
        <v>3086200</v>
      </c>
      <c r="N66" s="154">
        <f t="shared" ca="1" si="51"/>
        <v>2555030.6799999899</v>
      </c>
      <c r="O66" s="154">
        <f t="shared" ref="O66:O74" ca="1" si="52">IF(L66&gt;0,N66*100/L66,0)</f>
        <v>91.768934702966376</v>
      </c>
      <c r="P66" s="154">
        <f t="shared" ref="P66:P74" ca="1" si="53">IF(M66&gt;0,N66*100/M66,0)</f>
        <v>82.788888600868049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3086200</v>
      </c>
      <c r="N68" s="45">
        <f t="shared" ca="1" si="55"/>
        <v>2555030.6799999899</v>
      </c>
      <c r="O68" s="45">
        <f t="shared" ca="1" si="52"/>
        <v>91.768934702966376</v>
      </c>
      <c r="P68" s="45">
        <f t="shared" ca="1" si="53"/>
        <v>82.788888600868049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56">L70+L71</f>
        <v>2784200</v>
      </c>
      <c r="M69" s="38">
        <f t="shared" ca="1" si="56"/>
        <v>3086200</v>
      </c>
      <c r="N69" s="38">
        <f t="shared" ca="1" si="56"/>
        <v>2555030.6799999899</v>
      </c>
      <c r="O69" s="38">
        <f t="shared" ca="1" si="52"/>
        <v>91.768934702966376</v>
      </c>
      <c r="P69" s="38">
        <f t="shared" ca="1" si="53"/>
        <v>82.788888600868049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3086200)</f>
        <v>3086200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2555030.67999999)</f>
        <v>2555030.6799999899</v>
      </c>
      <c r="O71" s="45">
        <f t="shared" ca="1" si="52"/>
        <v>91.768934702966376</v>
      </c>
      <c r="P71" s="45">
        <f t="shared" ca="1" si="53"/>
        <v>82.788888600868049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69"/>
      <c r="B75" s="170"/>
      <c r="C75" s="163" t="s">
        <v>16</v>
      </c>
      <c r="D75" s="171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20.25" customHeight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6" ca="1" si="58">I78+I80+I82</f>
        <v>4</v>
      </c>
      <c r="J76" s="37">
        <f t="shared" ca="1" si="58"/>
        <v>4</v>
      </c>
      <c r="K76" s="162">
        <f t="shared" ref="K76:K84" ca="1" si="59">IF(I76&gt;0,J76*100/I76,0)</f>
        <v>100</v>
      </c>
      <c r="L76" s="162"/>
      <c r="M76" s="162"/>
      <c r="N76" s="162"/>
      <c r="O76" s="162"/>
      <c r="P76" s="162"/>
    </row>
    <row r="77" spans="1:26" ht="20.25" customHeight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ref="I77:J77" ca="1" si="60">I79+I81+I83</f>
        <v>120</v>
      </c>
      <c r="J77" s="37">
        <f t="shared" ca="1" si="60"/>
        <v>120</v>
      </c>
      <c r="K77" s="162">
        <f t="shared" ca="1" si="59"/>
        <v>100</v>
      </c>
      <c r="L77" s="162"/>
      <c r="M77" s="162"/>
      <c r="N77" s="162"/>
      <c r="O77" s="162"/>
      <c r="P77" s="162"/>
    </row>
    <row r="78" spans="1:26" ht="20.25" customHeight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1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2">
        <f t="shared" ca="1" si="59"/>
        <v>100</v>
      </c>
      <c r="L78" s="162"/>
      <c r="M78" s="162"/>
      <c r="N78" s="162"/>
      <c r="O78" s="162"/>
      <c r="P78" s="162"/>
    </row>
    <row r="79" spans="1:26" ht="20.25" customHeight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1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2">
        <f t="shared" ca="1" si="59"/>
        <v>100</v>
      </c>
      <c r="L79" s="162"/>
      <c r="M79" s="162"/>
      <c r="N79" s="162"/>
      <c r="O79" s="162"/>
      <c r="P79" s="162"/>
    </row>
    <row r="80" spans="1:26" ht="20.25" customHeight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1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2">
        <f t="shared" ca="1" si="59"/>
        <v>100</v>
      </c>
      <c r="L80" s="162"/>
      <c r="M80" s="162"/>
      <c r="N80" s="162"/>
      <c r="O80" s="162"/>
      <c r="P80" s="162"/>
    </row>
    <row r="81" spans="1:26" ht="20.25" customHeight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1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2">
        <f t="shared" ca="1" si="59"/>
        <v>100</v>
      </c>
      <c r="L81" s="162"/>
      <c r="M81" s="162"/>
      <c r="N81" s="162"/>
      <c r="O81" s="162"/>
      <c r="P81" s="162"/>
    </row>
    <row r="82" spans="1:26" ht="20.25" customHeight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1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1)</f>
        <v>1</v>
      </c>
      <c r="K82" s="162">
        <f t="shared" ca="1" si="59"/>
        <v>100</v>
      </c>
      <c r="L82" s="162"/>
      <c r="M82" s="162"/>
      <c r="N82" s="162"/>
      <c r="O82" s="162"/>
      <c r="P82" s="162"/>
    </row>
    <row r="83" spans="1:26" ht="20.25" customHeight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1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30)</f>
        <v>30</v>
      </c>
      <c r="K83" s="162">
        <f t="shared" ca="1" si="59"/>
        <v>100</v>
      </c>
      <c r="L83" s="162"/>
      <c r="M83" s="162"/>
      <c r="N83" s="162"/>
      <c r="O83" s="162"/>
      <c r="P83" s="162"/>
    </row>
    <row r="84" spans="1:26" ht="20.25" customHeight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1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2">
        <f t="shared" ca="1" si="59"/>
        <v>0</v>
      </c>
      <c r="L84" s="162"/>
      <c r="M84" s="162"/>
      <c r="N84" s="162"/>
      <c r="O84" s="162"/>
      <c r="P84" s="162"/>
    </row>
    <row r="85" spans="1:26" ht="20.25" customHeight="1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20.25" customHeight="1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6" ca="1" si="61">I98</f>
        <v>285</v>
      </c>
      <c r="J86" s="143">
        <f t="shared" ca="1" si="61"/>
        <v>285</v>
      </c>
      <c r="K86" s="144">
        <f t="shared" ref="K86:K87" ca="1" si="62">IF(I86&gt;0,J86*100/I86,0)</f>
        <v>100</v>
      </c>
      <c r="L86" s="145"/>
      <c r="M86" s="145"/>
      <c r="N86" s="145"/>
      <c r="O86" s="145"/>
      <c r="P86" s="145"/>
    </row>
    <row r="87" spans="1:26" ht="20.25" customHeight="1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ref="I87:J87" ca="1" si="63">I99</f>
        <v>95</v>
      </c>
      <c r="J87" s="143">
        <f t="shared" ca="1" si="63"/>
        <v>95</v>
      </c>
      <c r="K87" s="144">
        <f t="shared" ca="1" si="62"/>
        <v>100</v>
      </c>
      <c r="L87" s="145"/>
      <c r="M87" s="145"/>
      <c r="N87" s="145"/>
      <c r="O87" s="145"/>
      <c r="P87" s="145"/>
    </row>
    <row r="88" spans="1:26" ht="20.25" customHeight="1">
      <c r="A88" s="146"/>
      <c r="B88" s="147"/>
      <c r="C88" s="148" t="s">
        <v>16</v>
      </c>
      <c r="D88" s="149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64">L89+L90</f>
        <v>2722980</v>
      </c>
      <c r="M88" s="154">
        <f t="shared" ca="1" si="64"/>
        <v>2722980</v>
      </c>
      <c r="N88" s="154">
        <f t="shared" ca="1" si="64"/>
        <v>2117053.67</v>
      </c>
      <c r="O88" s="154">
        <f t="shared" ref="O88:O96" ca="1" si="65">IF(L88&gt;0,N88*100/L88,0)</f>
        <v>77.747676075476136</v>
      </c>
      <c r="P88" s="154">
        <f t="shared" ref="P88:P96" ca="1" si="66">IF(M88&gt;0,N88*100/M88,0)</f>
        <v>77.747676075476136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2722980</v>
      </c>
      <c r="N90" s="45">
        <f t="shared" ca="1" si="68"/>
        <v>2117053.67</v>
      </c>
      <c r="O90" s="45">
        <f t="shared" ca="1" si="65"/>
        <v>77.747676075476136</v>
      </c>
      <c r="P90" s="45">
        <f t="shared" ca="1" si="66"/>
        <v>77.747676075476136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69">L92+L93</f>
        <v>2722980</v>
      </c>
      <c r="M91" s="38">
        <f t="shared" ca="1" si="69"/>
        <v>2722980</v>
      </c>
      <c r="N91" s="38">
        <f t="shared" ca="1" si="69"/>
        <v>2117053.67</v>
      </c>
      <c r="O91" s="38">
        <f t="shared" ca="1" si="65"/>
        <v>77.747676075476136</v>
      </c>
      <c r="P91" s="38">
        <f t="shared" ca="1" si="66"/>
        <v>77.747676075476136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2722980)</f>
        <v>2722980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2117053.67)</f>
        <v>2117053.67</v>
      </c>
      <c r="O93" s="45">
        <f t="shared" ca="1" si="65"/>
        <v>77.747676075476136</v>
      </c>
      <c r="P93" s="45">
        <f t="shared" ca="1" si="66"/>
        <v>77.747676075476136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69"/>
      <c r="B97" s="170"/>
      <c r="C97" s="163" t="s">
        <v>16</v>
      </c>
      <c r="D97" s="171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20.25" customHeight="1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285</v>
      </c>
      <c r="K98" s="38">
        <f t="shared" ref="K98:K100" ca="1" si="71">IF(I98&gt;0,J98*100/I98,0)</f>
        <v>100</v>
      </c>
      <c r="L98" s="38"/>
      <c r="M98" s="38"/>
      <c r="N98" s="38"/>
      <c r="O98" s="162"/>
      <c r="P98" s="162"/>
    </row>
    <row r="99" spans="1:16" ht="20.25" customHeight="1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95</v>
      </c>
      <c r="K99" s="38">
        <f t="shared" ca="1" si="71"/>
        <v>100</v>
      </c>
      <c r="L99" s="38"/>
      <c r="M99" s="38"/>
      <c r="N99" s="38"/>
      <c r="O99" s="162"/>
      <c r="P99" s="162"/>
    </row>
    <row r="100" spans="1:16" ht="20.25" customHeight="1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18</v>
      </c>
      <c r="K100" s="38">
        <f t="shared" ca="1" si="71"/>
        <v>94.736842105263165</v>
      </c>
      <c r="L100" s="38"/>
      <c r="M100" s="38"/>
      <c r="N100" s="38"/>
      <c r="O100" s="162"/>
      <c r="P100" s="162"/>
    </row>
    <row r="101" spans="1:16" ht="20.25" customHeight="1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20.25" customHeight="1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1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285)</f>
        <v>285</v>
      </c>
      <c r="K102" s="38">
        <f t="shared" ref="K102:K104" ca="1" si="72">IF(I102&gt;0,J102*100/I102,0)</f>
        <v>100</v>
      </c>
      <c r="L102" s="38"/>
      <c r="M102" s="38"/>
      <c r="N102" s="38"/>
      <c r="O102" s="162"/>
      <c r="P102" s="162"/>
    </row>
    <row r="103" spans="1:16" ht="20.25" customHeight="1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1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95)</f>
        <v>95</v>
      </c>
      <c r="K103" s="38">
        <f t="shared" ca="1" si="72"/>
        <v>100</v>
      </c>
      <c r="L103" s="38"/>
      <c r="M103" s="38"/>
      <c r="N103" s="38"/>
      <c r="O103" s="162"/>
      <c r="P103" s="162"/>
    </row>
    <row r="104" spans="1:16" ht="20.25" customHeight="1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1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95)</f>
        <v>95</v>
      </c>
      <c r="K104" s="38">
        <f t="shared" ca="1" si="72"/>
        <v>100</v>
      </c>
      <c r="L104" s="38"/>
      <c r="M104" s="38"/>
      <c r="N104" s="38"/>
      <c r="O104" s="162"/>
      <c r="P104" s="162"/>
    </row>
    <row r="105" spans="1:16" ht="20.25" customHeight="1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20.25" customHeight="1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1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11)</f>
        <v>11</v>
      </c>
      <c r="K106" s="38">
        <f t="shared" ref="K106:K107" ca="1" si="73">IF(I106&gt;0,J106*100/I106,0)</f>
        <v>100</v>
      </c>
      <c r="L106" s="38"/>
      <c r="M106" s="38"/>
      <c r="N106" s="38"/>
      <c r="O106" s="162"/>
      <c r="P106" s="162"/>
    </row>
    <row r="107" spans="1:16" ht="20.25" customHeight="1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1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11)</f>
        <v>11</v>
      </c>
      <c r="K107" s="38">
        <f t="shared" ca="1" si="73"/>
        <v>100</v>
      </c>
      <c r="L107" s="38"/>
      <c r="M107" s="38"/>
      <c r="N107" s="38"/>
      <c r="O107" s="162"/>
      <c r="P107" s="162"/>
    </row>
    <row r="108" spans="1:16" ht="20.25" customHeight="1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20.25" customHeight="1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1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7)</f>
        <v>7</v>
      </c>
      <c r="K109" s="38">
        <f t="shared" ref="K109:K116" ca="1" si="74">IF(I109&gt;0,J109*100/I109,0)</f>
        <v>87.5</v>
      </c>
      <c r="L109" s="38"/>
      <c r="M109" s="38"/>
      <c r="N109" s="38"/>
      <c r="O109" s="162"/>
      <c r="P109" s="162"/>
    </row>
    <row r="110" spans="1:16" ht="20.25" customHeight="1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1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7)</f>
        <v>7</v>
      </c>
      <c r="K110" s="38">
        <f t="shared" ca="1" si="74"/>
        <v>87.5</v>
      </c>
      <c r="L110" s="38"/>
      <c r="M110" s="38"/>
      <c r="N110" s="38"/>
      <c r="O110" s="162"/>
      <c r="P110" s="162"/>
    </row>
    <row r="111" spans="1:16" ht="20.25" customHeight="1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0">
        <f ca="1">J114</f>
        <v>20</v>
      </c>
      <c r="K111" s="191">
        <f t="shared" ca="1" si="74"/>
        <v>21.05263157894737</v>
      </c>
      <c r="L111" s="38"/>
      <c r="M111" s="38"/>
      <c r="N111" s="38"/>
      <c r="O111" s="162"/>
      <c r="P111" s="162"/>
    </row>
    <row r="112" spans="1:16" ht="20.25" customHeight="1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75">I115+I116</f>
        <v>19</v>
      </c>
      <c r="J112" s="190">
        <f t="shared" ca="1" si="75"/>
        <v>4</v>
      </c>
      <c r="K112" s="191">
        <f t="shared" ca="1" si="74"/>
        <v>21.05263157894737</v>
      </c>
      <c r="L112" s="38"/>
      <c r="M112" s="38"/>
      <c r="N112" s="38"/>
      <c r="O112" s="162"/>
      <c r="P112" s="162"/>
    </row>
    <row r="113" spans="1:26" ht="20.25" customHeight="1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1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20)</f>
        <v>20</v>
      </c>
      <c r="K113" s="38">
        <f t="shared" ca="1" si="74"/>
        <v>21.05263157894737</v>
      </c>
      <c r="L113" s="38"/>
      <c r="M113" s="38"/>
      <c r="N113" s="38"/>
      <c r="O113" s="162"/>
      <c r="P113" s="162"/>
    </row>
    <row r="114" spans="1:26" ht="20.25" customHeight="1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1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20)</f>
        <v>20</v>
      </c>
      <c r="K114" s="38">
        <f t="shared" ca="1" si="74"/>
        <v>21.05263157894737</v>
      </c>
      <c r="L114" s="38"/>
      <c r="M114" s="38"/>
      <c r="N114" s="38"/>
      <c r="O114" s="162"/>
      <c r="P114" s="162"/>
    </row>
    <row r="115" spans="1:26" ht="20.25" customHeight="1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1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3)</f>
        <v>3</v>
      </c>
      <c r="K115" s="38">
        <f t="shared" ca="1" si="74"/>
        <v>27.272727272727273</v>
      </c>
      <c r="L115" s="38"/>
      <c r="M115" s="38"/>
      <c r="N115" s="38"/>
      <c r="O115" s="162"/>
      <c r="P115" s="162"/>
    </row>
    <row r="116" spans="1:26" ht="20.25" customHeight="1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1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1)</f>
        <v>1</v>
      </c>
      <c r="K116" s="38">
        <f t="shared" ca="1" si="74"/>
        <v>12.5</v>
      </c>
      <c r="L116" s="38"/>
      <c r="M116" s="38"/>
      <c r="N116" s="38"/>
      <c r="O116" s="162"/>
      <c r="P116" s="162"/>
    </row>
    <row r="117" spans="1:26" ht="20.25" customHeight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20.25" customHeight="1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143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3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3)</f>
        <v>3</v>
      </c>
      <c r="K118" s="144">
        <f ca="1">IF(I118&gt;0,J118*100/I118,0)</f>
        <v>100</v>
      </c>
      <c r="L118" s="145"/>
      <c r="M118" s="145"/>
      <c r="N118" s="145"/>
      <c r="O118" s="145"/>
      <c r="P118" s="145"/>
    </row>
    <row r="119" spans="1:26" ht="20.25" customHeight="1">
      <c r="A119" s="146"/>
      <c r="B119" s="147"/>
      <c r="C119" s="148" t="s">
        <v>16</v>
      </c>
      <c r="D119" s="149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76">L120+L121</f>
        <v>42000</v>
      </c>
      <c r="M119" s="154">
        <f t="shared" ca="1" si="76"/>
        <v>42000</v>
      </c>
      <c r="N119" s="154">
        <f t="shared" ca="1" si="76"/>
        <v>42000</v>
      </c>
      <c r="O119" s="154">
        <f t="shared" ref="O119:O127" ca="1" si="77">IF(L119&gt;0,N119*100/L119,0)</f>
        <v>100</v>
      </c>
      <c r="P119" s="154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20.25" customHeight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20.25" customHeight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83">I146</f>
        <v>9</v>
      </c>
      <c r="J130" s="143">
        <f t="shared" ca="1" si="83"/>
        <v>6</v>
      </c>
      <c r="K130" s="144">
        <f t="shared" ref="K130:K131" ca="1" si="84">IF(I130&gt;0,J130*100/I130,0)</f>
        <v>66.666666666666671</v>
      </c>
      <c r="L130" s="145"/>
      <c r="M130" s="145"/>
      <c r="N130" s="145"/>
      <c r="O130" s="145"/>
      <c r="P130" s="145"/>
    </row>
    <row r="131" spans="1:26" ht="20.25" customHeight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85">I143</f>
        <v>90</v>
      </c>
      <c r="J131" s="143">
        <f t="shared" ca="1" si="85"/>
        <v>90</v>
      </c>
      <c r="K131" s="144">
        <f t="shared" ca="1" si="84"/>
        <v>100</v>
      </c>
      <c r="L131" s="145"/>
      <c r="M131" s="145"/>
      <c r="N131" s="145"/>
      <c r="O131" s="145"/>
      <c r="P131" s="145"/>
    </row>
    <row r="132" spans="1:26" ht="20.25" customHeight="1">
      <c r="A132" s="146"/>
      <c r="B132" s="147"/>
      <c r="C132" s="148" t="s">
        <v>16</v>
      </c>
      <c r="D132" s="149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86">L133+L134</f>
        <v>2365095</v>
      </c>
      <c r="M132" s="154">
        <f t="shared" ca="1" si="86"/>
        <v>2359095</v>
      </c>
      <c r="N132" s="154">
        <f t="shared" ca="1" si="86"/>
        <v>2050986.13</v>
      </c>
      <c r="O132" s="154">
        <f t="shared" ref="O132:O140" ca="1" si="87">IF(L132&gt;0,N132*100/L132,0)</f>
        <v>86.718974502081309</v>
      </c>
      <c r="P132" s="154">
        <f t="shared" ref="P132:P140" ca="1" si="88">IF(M132&gt;0,N132*100/M132,0)</f>
        <v>86.939531048982772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2359095</v>
      </c>
      <c r="N134" s="45">
        <f t="shared" ca="1" si="90"/>
        <v>2050986.13</v>
      </c>
      <c r="O134" s="45">
        <f t="shared" ca="1" si="87"/>
        <v>86.718974502081309</v>
      </c>
      <c r="P134" s="45">
        <f t="shared" ca="1" si="88"/>
        <v>86.939531048982772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91">L136+L137</f>
        <v>1438095</v>
      </c>
      <c r="M135" s="38">
        <f t="shared" ca="1" si="91"/>
        <v>1438095</v>
      </c>
      <c r="N135" s="38">
        <f t="shared" ca="1" si="91"/>
        <v>1129986.1299999999</v>
      </c>
      <c r="O135" s="38">
        <f t="shared" ca="1" si="87"/>
        <v>78.575207479338971</v>
      </c>
      <c r="P135" s="38">
        <f t="shared" ca="1" si="88"/>
        <v>78.575207479338971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1438095)</f>
        <v>1438095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1129986.13)</f>
        <v>1129986.1299999999</v>
      </c>
      <c r="O137" s="45">
        <f t="shared" ca="1" si="87"/>
        <v>78.575207479338971</v>
      </c>
      <c r="P137" s="45">
        <f t="shared" ca="1" si="88"/>
        <v>78.575207479338971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69"/>
      <c r="B141" s="170"/>
      <c r="C141" s="148" t="s">
        <v>16</v>
      </c>
      <c r="D141" s="171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8"/>
      <c r="B142" s="33"/>
      <c r="C142" s="204"/>
      <c r="D142" s="159" t="s">
        <v>71</v>
      </c>
      <c r="E142" s="205"/>
      <c r="F142" s="33"/>
      <c r="G142" s="206"/>
      <c r="H142" s="167"/>
      <c r="I142" s="37"/>
      <c r="J142" s="181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8"/>
      <c r="L142" s="38"/>
      <c r="M142" s="38"/>
      <c r="N142" s="38"/>
      <c r="O142" s="38"/>
      <c r="P142" s="38"/>
    </row>
    <row r="143" spans="1:26" ht="20.25" customHeight="1">
      <c r="A143" s="158"/>
      <c r="B143" s="33"/>
      <c r="C143" s="204"/>
      <c r="D143" s="159" t="s">
        <v>72</v>
      </c>
      <c r="E143" s="205"/>
      <c r="F143" s="33"/>
      <c r="G143" s="206"/>
      <c r="H143" s="167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90)</f>
        <v>90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1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55)</f>
        <v>55</v>
      </c>
      <c r="K144" s="38">
        <f t="shared" ca="1" si="93"/>
        <v>122.22222222222223</v>
      </c>
      <c r="L144" s="38"/>
      <c r="M144" s="38"/>
      <c r="N144" s="38"/>
      <c r="O144" s="38"/>
      <c r="P144" s="38"/>
    </row>
    <row r="145" spans="1:26" ht="20.25" customHeight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1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90)</f>
        <v>90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20.25" customHeight="1">
      <c r="A146" s="158"/>
      <c r="B146" s="33"/>
      <c r="C146" s="204"/>
      <c r="D146" s="159" t="s">
        <v>75</v>
      </c>
      <c r="E146" s="205"/>
      <c r="F146" s="33"/>
      <c r="G146" s="206"/>
      <c r="H146" s="167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1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6)</f>
        <v>6</v>
      </c>
      <c r="K146" s="38">
        <f t="shared" ca="1" si="93"/>
        <v>66.666666666666671</v>
      </c>
      <c r="L146" s="38"/>
      <c r="M146" s="38"/>
      <c r="N146" s="38"/>
      <c r="O146" s="38"/>
      <c r="P146" s="38"/>
    </row>
    <row r="147" spans="1:26" ht="20.25" customHeight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20.25" customHeight="1">
      <c r="A148" s="207"/>
      <c r="B148" s="138" t="s">
        <v>77</v>
      </c>
      <c r="C148" s="138"/>
      <c r="D148" s="138"/>
      <c r="E148" s="208"/>
      <c r="F148" s="209"/>
      <c r="G148" s="210"/>
      <c r="H148" s="211" t="s">
        <v>35</v>
      </c>
      <c r="I148" s="143">
        <f t="shared" ref="I148:J148" ca="1" si="94">I159</f>
        <v>40</v>
      </c>
      <c r="J148" s="143">
        <f t="shared" ca="1" si="94"/>
        <v>41</v>
      </c>
      <c r="K148" s="144">
        <f ca="1">IF(I148&gt;0,J148*100/I148,0)</f>
        <v>102.5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20.25" customHeight="1">
      <c r="A149" s="146"/>
      <c r="B149" s="147"/>
      <c r="C149" s="148" t="s">
        <v>16</v>
      </c>
      <c r="D149" s="149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95">L150+L151</f>
        <v>20000</v>
      </c>
      <c r="M149" s="154">
        <f t="shared" ca="1" si="95"/>
        <v>48440</v>
      </c>
      <c r="N149" s="154">
        <f t="shared" ca="1" si="95"/>
        <v>41952</v>
      </c>
      <c r="O149" s="154">
        <f t="shared" ref="O149:O157" ca="1" si="96">IF(L149&gt;0,N149*100/L149,0)</f>
        <v>209.76</v>
      </c>
      <c r="P149" s="154">
        <f t="shared" ref="P149:P157" ca="1" si="97">IF(M149&gt;0,N149*100/M149,0)</f>
        <v>86.606110652353422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48440</v>
      </c>
      <c r="N151" s="45">
        <f t="shared" ca="1" si="99"/>
        <v>41952</v>
      </c>
      <c r="O151" s="45">
        <f t="shared" ca="1" si="96"/>
        <v>209.76</v>
      </c>
      <c r="P151" s="45">
        <f t="shared" ca="1" si="97"/>
        <v>86.606110652353422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100">L153+L154</f>
        <v>20000</v>
      </c>
      <c r="M152" s="38">
        <f t="shared" ca="1" si="100"/>
        <v>48440</v>
      </c>
      <c r="N152" s="38">
        <f t="shared" ca="1" si="100"/>
        <v>41952</v>
      </c>
      <c r="O152" s="38">
        <f t="shared" ca="1" si="96"/>
        <v>209.76</v>
      </c>
      <c r="P152" s="38">
        <f t="shared" ca="1" si="97"/>
        <v>86.606110652353422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48440)</f>
        <v>48440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41952)</f>
        <v>41952</v>
      </c>
      <c r="O154" s="45">
        <f t="shared" ca="1" si="96"/>
        <v>209.76</v>
      </c>
      <c r="P154" s="45">
        <f t="shared" ca="1" si="97"/>
        <v>86.606110652353422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69"/>
      <c r="B158" s="170"/>
      <c r="C158" s="163" t="s">
        <v>16</v>
      </c>
      <c r="D158" s="171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8"/>
      <c r="B159" s="33"/>
      <c r="C159" s="204"/>
      <c r="D159" s="159" t="s">
        <v>78</v>
      </c>
      <c r="E159" s="205"/>
      <c r="F159" s="33"/>
      <c r="G159" s="206"/>
      <c r="H159" s="167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1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41)</f>
        <v>41</v>
      </c>
      <c r="K159" s="38">
        <f ca="1">IF(I159&gt;0,J159*100/I159,0)</f>
        <v>102.5</v>
      </c>
      <c r="L159" s="38"/>
      <c r="M159" s="38"/>
      <c r="N159" s="38"/>
      <c r="O159" s="38"/>
      <c r="P159" s="38"/>
    </row>
    <row r="160" spans="1:26" ht="20.25" hidden="1" customHeight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20.25" hidden="1" customHeight="1">
      <c r="A161" s="215"/>
      <c r="B161" s="216"/>
      <c r="C161" s="217"/>
      <c r="D161" s="218" t="s">
        <v>80</v>
      </c>
      <c r="E161" s="219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20.25" customHeight="1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20.25" customHeight="1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20.25" customHeight="1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102">I174+I177</f>
        <v>139</v>
      </c>
      <c r="J164" s="242">
        <f t="shared" ca="1" si="102"/>
        <v>139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20.25" customHeight="1">
      <c r="A165" s="146"/>
      <c r="B165" s="147"/>
      <c r="C165" s="148" t="s">
        <v>16</v>
      </c>
      <c r="D165" s="149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103">L166+L167</f>
        <v>271695</v>
      </c>
      <c r="M165" s="154">
        <f t="shared" ca="1" si="103"/>
        <v>499895</v>
      </c>
      <c r="N165" s="154">
        <f t="shared" ca="1" si="103"/>
        <v>498650</v>
      </c>
      <c r="O165" s="154">
        <f t="shared" ref="O165:O173" ca="1" si="104">IF(L165&gt;0,N165*100/L165,0)</f>
        <v>183.53300576013544</v>
      </c>
      <c r="P165" s="154">
        <f t="shared" ref="P165:P173" ca="1" si="105">IF(M165&gt;0,N165*100/M165,0)</f>
        <v>99.750947699016791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499895</v>
      </c>
      <c r="N167" s="45">
        <f t="shared" ca="1" si="107"/>
        <v>498650</v>
      </c>
      <c r="O167" s="45">
        <f t="shared" ca="1" si="104"/>
        <v>183.53300576013544</v>
      </c>
      <c r="P167" s="45">
        <f t="shared" ca="1" si="105"/>
        <v>99.750947699016791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108">L169+L170</f>
        <v>271695</v>
      </c>
      <c r="M168" s="38">
        <f t="shared" ca="1" si="108"/>
        <v>499895</v>
      </c>
      <c r="N168" s="38">
        <f t="shared" ca="1" si="108"/>
        <v>498650</v>
      </c>
      <c r="O168" s="38">
        <f t="shared" ca="1" si="104"/>
        <v>183.53300576013544</v>
      </c>
      <c r="P168" s="38">
        <f t="shared" ca="1" si="105"/>
        <v>99.750947699016791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499895)</f>
        <v>499895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498650)</f>
        <v>498650</v>
      </c>
      <c r="O170" s="45">
        <f t="shared" ca="1" si="104"/>
        <v>183.53300576013544</v>
      </c>
      <c r="P170" s="45">
        <f t="shared" ca="1" si="105"/>
        <v>99.750947699016791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110">I176</f>
        <v>139</v>
      </c>
      <c r="J174" s="250">
        <f t="shared" ca="1" si="110"/>
        <v>139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20.25" customHeight="1">
      <c r="A175" s="169"/>
      <c r="B175" s="170"/>
      <c r="C175" s="163" t="s">
        <v>16</v>
      </c>
      <c r="D175" s="171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20.25" customHeight="1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1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139)</f>
        <v>139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20.25" hidden="1" customHeight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20.25" hidden="1" customHeight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20.25" hidden="1" customHeight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20.25" customHeight="1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111">I225+I226</f>
        <v>140</v>
      </c>
      <c r="J180" s="242">
        <f t="shared" ca="1" si="111"/>
        <v>150</v>
      </c>
      <c r="K180" s="243">
        <f ca="1">IF(I180&gt;0,J180*100/I180,0)</f>
        <v>107.14285714285714</v>
      </c>
      <c r="L180" s="244"/>
      <c r="M180" s="244"/>
      <c r="N180" s="244"/>
      <c r="O180" s="244"/>
      <c r="P180" s="244"/>
    </row>
    <row r="181" spans="1:26" ht="20.25" customHeight="1">
      <c r="A181" s="146"/>
      <c r="B181" s="147"/>
      <c r="C181" s="148" t="s">
        <v>16</v>
      </c>
      <c r="D181" s="149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112">L182+L183</f>
        <v>2070000</v>
      </c>
      <c r="M181" s="154">
        <f t="shared" ca="1" si="112"/>
        <v>2190250</v>
      </c>
      <c r="N181" s="154">
        <f t="shared" ca="1" si="112"/>
        <v>1798913.35</v>
      </c>
      <c r="O181" s="154">
        <f t="shared" ref="O181:O189" ca="1" si="113">IF(L181&gt;0,N181*100/L181,0)</f>
        <v>86.904026570048316</v>
      </c>
      <c r="P181" s="154">
        <f t="shared" ref="P181:P189" ca="1" si="114">IF(M181&gt;0,N181*100/M181,0)</f>
        <v>82.132786211619674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2190250</v>
      </c>
      <c r="N183" s="45">
        <f t="shared" ca="1" si="116"/>
        <v>1798913.35</v>
      </c>
      <c r="O183" s="45">
        <f t="shared" ca="1" si="113"/>
        <v>86.904026570048316</v>
      </c>
      <c r="P183" s="45">
        <f t="shared" ca="1" si="114"/>
        <v>82.132786211619674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117">L185+L186</f>
        <v>2070000</v>
      </c>
      <c r="M184" s="38">
        <f t="shared" ca="1" si="117"/>
        <v>2190250</v>
      </c>
      <c r="N184" s="38">
        <f t="shared" ca="1" si="117"/>
        <v>1798913.35</v>
      </c>
      <c r="O184" s="38">
        <f t="shared" ca="1" si="113"/>
        <v>86.904026570048316</v>
      </c>
      <c r="P184" s="38">
        <f t="shared" ca="1" si="114"/>
        <v>82.132786211619674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2190250)</f>
        <v>2190250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1798913.35)</f>
        <v>1798913.35</v>
      </c>
      <c r="O186" s="45">
        <f t="shared" ca="1" si="113"/>
        <v>86.904026570048316</v>
      </c>
      <c r="P186" s="45">
        <f t="shared" ca="1" si="114"/>
        <v>82.132786211619674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119">I193</f>
        <v>56</v>
      </c>
      <c r="J190" s="260">
        <f t="shared" ca="1" si="119"/>
        <v>43</v>
      </c>
      <c r="K190" s="261">
        <f ca="1">IF(I190&gt;0,J190*100/I190,0)</f>
        <v>76.785714285714292</v>
      </c>
      <c r="L190" s="251"/>
      <c r="M190" s="251"/>
      <c r="N190" s="251"/>
      <c r="O190" s="251"/>
      <c r="P190" s="251"/>
    </row>
    <row r="191" spans="1:26" ht="20.25" customHeight="1">
      <c r="A191" s="146"/>
      <c r="B191" s="147"/>
      <c r="C191" s="148" t="s">
        <v>16</v>
      </c>
      <c r="D191" s="262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4"/>
      <c r="N191" s="264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59461)</f>
        <v>59461</v>
      </c>
      <c r="O191" s="154">
        <f ca="1">IF(L191&gt;0,N191*100/L191,0)</f>
        <v>70.786904761904765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69"/>
      <c r="B192" s="170"/>
      <c r="C192" s="204" t="s">
        <v>16</v>
      </c>
      <c r="D192" s="171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1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43)</f>
        <v>43</v>
      </c>
      <c r="K193" s="38">
        <f ca="1">IF(I193&gt;0,J193*100/I193,0)</f>
        <v>76.785714285714292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 ca="1">J195+J196</f>
        <v>1745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1745)</f>
        <v>1745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120">I204</f>
        <v>28</v>
      </c>
      <c r="J197" s="260">
        <f t="shared" ca="1" si="120"/>
        <v>28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20.25" customHeight="1">
      <c r="A198" s="146"/>
      <c r="B198" s="147"/>
      <c r="C198" s="148" t="s">
        <v>16</v>
      </c>
      <c r="D198" s="262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374000</v>
      </c>
      <c r="M198" s="154"/>
      <c r="N198" s="154">
        <f ca="1">N199+N200+N201+N202</f>
        <v>336057.62</v>
      </c>
      <c r="O198" s="154">
        <f ca="1">IF(L198&gt;0,N198*100/L198,0)</f>
        <v>89.854978609625675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70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20329)</f>
        <v>20329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70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225144.62)</f>
        <v>225144.62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20.25" customHeight="1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70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90584)</f>
        <v>90584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20.25" customHeight="1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70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20.25" customHeight="1">
      <c r="A203" s="169"/>
      <c r="B203" s="170"/>
      <c r="C203" s="204" t="s">
        <v>16</v>
      </c>
      <c r="D203" s="171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1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28)</f>
        <v>28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1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24)</f>
        <v>24</v>
      </c>
      <c r="K206" s="162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1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2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21">I215</f>
        <v>10</v>
      </c>
      <c r="J208" s="260">
        <f t="shared" ca="1" si="121"/>
        <v>10</v>
      </c>
      <c r="K208" s="261">
        <f ca="1">IF(I208&gt;0,J208*100/I208,0)</f>
        <v>100</v>
      </c>
      <c r="L208" s="251"/>
      <c r="M208" s="251"/>
      <c r="N208" s="251"/>
      <c r="O208" s="251"/>
      <c r="P208" s="251"/>
    </row>
    <row r="209" spans="1:26" ht="20.25" customHeight="1">
      <c r="A209" s="146"/>
      <c r="B209" s="147"/>
      <c r="C209" s="148" t="s">
        <v>16</v>
      </c>
      <c r="D209" s="262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140000</v>
      </c>
      <c r="M209" s="154"/>
      <c r="N209" s="154">
        <f ca="1">N210+N211+N212</f>
        <v>128305</v>
      </c>
      <c r="O209" s="154">
        <f ca="1">IF(L209&gt;0,N209*100/L209,0)</f>
        <v>91.646428571428572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70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8000)</f>
        <v>8000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70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40000)</f>
        <v>40000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20.25" customHeight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70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20.25" customHeight="1">
      <c r="A213" s="169"/>
      <c r="B213" s="170"/>
      <c r="C213" s="278" t="s">
        <v>16</v>
      </c>
      <c r="D213" s="171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1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8)</f>
        <v>8</v>
      </c>
      <c r="K214" s="38">
        <f t="shared" ref="K214:K216" ca="1" si="122">IF(I214&gt;0,J214*100/I214,0)</f>
        <v>80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1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10)</f>
        <v>10</v>
      </c>
      <c r="K215" s="38">
        <f t="shared" ca="1" si="12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23">I224</f>
        <v>239000</v>
      </c>
      <c r="J216" s="260">
        <f t="shared" ca="1" si="123"/>
        <v>126200</v>
      </c>
      <c r="K216" s="261">
        <f t="shared" ca="1" si="122"/>
        <v>52.803347280334727</v>
      </c>
      <c r="L216" s="251"/>
      <c r="M216" s="251"/>
      <c r="N216" s="251"/>
      <c r="O216" s="251"/>
      <c r="P216" s="251"/>
    </row>
    <row r="217" spans="1:26" ht="20.25" customHeight="1">
      <c r="A217" s="146"/>
      <c r="B217" s="147"/>
      <c r="C217" s="148" t="s">
        <v>16</v>
      </c>
      <c r="D217" s="262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153600</v>
      </c>
      <c r="M217" s="154"/>
      <c r="N217" s="154">
        <f ca="1">N218+N219+N220</f>
        <v>91881.7</v>
      </c>
      <c r="O217" s="154">
        <f ca="1">IF(L217&gt;0,N217*100/L217,0)</f>
        <v>59.818815104166667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70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23790)</f>
        <v>23790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70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31885)</f>
        <v>31885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20.25" customHeight="1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70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36206.7)</f>
        <v>36206.699999999997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20.25" customHeight="1">
      <c r="A221" s="169"/>
      <c r="B221" s="170"/>
      <c r="C221" s="278" t="s">
        <v>16</v>
      </c>
      <c r="D221" s="171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1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176200)</f>
        <v>176200</v>
      </c>
      <c r="K223" s="162">
        <f t="shared" ref="K223:K226" ca="1" si="124">IF(I223&gt;0,J223*100/I223,0)</f>
        <v>73.723849372384933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1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126200)</f>
        <v>126200</v>
      </c>
      <c r="K224" s="162">
        <f t="shared" ca="1" si="124"/>
        <v>52.803347280334727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1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2">
        <f t="shared" ca="1" si="12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79"/>
      <c r="B226" s="280"/>
      <c r="C226" s="281" t="s">
        <v>115</v>
      </c>
      <c r="D226" s="282"/>
      <c r="E226" s="282"/>
      <c r="F226" s="282"/>
      <c r="G226" s="283"/>
      <c r="H226" s="284" t="s">
        <v>35</v>
      </c>
      <c r="I226" s="285">
        <f t="shared" ref="I226:J226" ca="1" si="125">I237+I248</f>
        <v>100</v>
      </c>
      <c r="J226" s="285">
        <f t="shared" ca="1" si="125"/>
        <v>110</v>
      </c>
      <c r="K226" s="286">
        <f t="shared" ca="1" si="124"/>
        <v>110</v>
      </c>
      <c r="L226" s="287"/>
      <c r="M226" s="287"/>
      <c r="N226" s="287"/>
      <c r="O226" s="287"/>
      <c r="P226" s="287"/>
      <c r="Q226" s="288"/>
      <c r="R226" s="288"/>
      <c r="S226" s="288"/>
      <c r="T226" s="288"/>
      <c r="U226" s="288"/>
      <c r="V226" s="288"/>
      <c r="W226" s="288"/>
      <c r="X226" s="288"/>
      <c r="Y226" s="288"/>
      <c r="Z226" s="288"/>
    </row>
    <row r="227" spans="1:26" ht="20.25" customHeight="1">
      <c r="A227" s="289"/>
      <c r="B227" s="290"/>
      <c r="C227" s="291" t="s">
        <v>16</v>
      </c>
      <c r="D227" s="292" t="s">
        <v>17</v>
      </c>
      <c r="E227" s="290"/>
      <c r="F227" s="290"/>
      <c r="G227" s="293"/>
      <c r="H227" s="294" t="s">
        <v>12</v>
      </c>
      <c r="I227" s="295"/>
      <c r="J227" s="295"/>
      <c r="K227" s="296"/>
      <c r="L227" s="297">
        <f t="shared" ref="L227:L231" ca="1" si="126">L238+L249</f>
        <v>293300</v>
      </c>
      <c r="M227" s="297"/>
      <c r="N227" s="297">
        <f t="shared" ref="N227:N231" ca="1" si="127">N238+N249</f>
        <v>214602.33000000002</v>
      </c>
      <c r="O227" s="298"/>
      <c r="P227" s="298"/>
      <c r="Q227" s="299"/>
      <c r="R227" s="299"/>
      <c r="S227" s="299"/>
      <c r="T227" s="299"/>
      <c r="U227" s="299"/>
      <c r="V227" s="299"/>
      <c r="W227" s="299"/>
      <c r="X227" s="299"/>
      <c r="Y227" s="299"/>
      <c r="Z227" s="299"/>
    </row>
    <row r="228" spans="1:26" ht="20.25" customHeight="1">
      <c r="A228" s="300"/>
      <c r="B228" s="301"/>
      <c r="C228" s="302"/>
      <c r="D228" s="303" t="s">
        <v>97</v>
      </c>
      <c r="E228" s="302"/>
      <c r="F228" s="302"/>
      <c r="G228" s="304"/>
      <c r="H228" s="305" t="s">
        <v>12</v>
      </c>
      <c r="I228" s="306"/>
      <c r="J228" s="306"/>
      <c r="K228" s="307"/>
      <c r="L228" s="308">
        <f t="shared" ca="1" si="126"/>
        <v>165000</v>
      </c>
      <c r="M228" s="308"/>
      <c r="N228" s="308">
        <f t="shared" ca="1" si="127"/>
        <v>119083.33</v>
      </c>
      <c r="O228" s="308"/>
      <c r="P228" s="308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</row>
    <row r="229" spans="1:26" ht="20.25" customHeight="1">
      <c r="A229" s="309"/>
      <c r="B229" s="301"/>
      <c r="C229" s="310"/>
      <c r="D229" s="303" t="s">
        <v>98</v>
      </c>
      <c r="E229" s="302"/>
      <c r="F229" s="302"/>
      <c r="G229" s="304"/>
      <c r="H229" s="305" t="s">
        <v>12</v>
      </c>
      <c r="I229" s="311"/>
      <c r="J229" s="311"/>
      <c r="K229" s="308"/>
      <c r="L229" s="308">
        <f t="shared" ca="1" si="126"/>
        <v>88300</v>
      </c>
      <c r="M229" s="308"/>
      <c r="N229" s="308">
        <f t="shared" ca="1" si="127"/>
        <v>85539</v>
      </c>
      <c r="O229" s="308"/>
      <c r="P229" s="308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</row>
    <row r="230" spans="1:26" ht="20.25" customHeight="1">
      <c r="A230" s="309"/>
      <c r="B230" s="301"/>
      <c r="C230" s="310"/>
      <c r="D230" s="303" t="s">
        <v>116</v>
      </c>
      <c r="E230" s="302"/>
      <c r="F230" s="302"/>
      <c r="G230" s="304"/>
      <c r="H230" s="305" t="s">
        <v>12</v>
      </c>
      <c r="I230" s="311"/>
      <c r="J230" s="311"/>
      <c r="K230" s="308"/>
      <c r="L230" s="308">
        <f t="shared" ca="1" si="126"/>
        <v>0</v>
      </c>
      <c r="M230" s="308"/>
      <c r="N230" s="308">
        <f t="shared" ca="1" si="127"/>
        <v>0</v>
      </c>
      <c r="O230" s="308"/>
      <c r="P230" s="308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</row>
    <row r="231" spans="1:26" ht="20.25" customHeight="1">
      <c r="A231" s="309"/>
      <c r="B231" s="301"/>
      <c r="C231" s="310"/>
      <c r="D231" s="303" t="s">
        <v>100</v>
      </c>
      <c r="E231" s="302"/>
      <c r="F231" s="302"/>
      <c r="G231" s="304"/>
      <c r="H231" s="305" t="s">
        <v>12</v>
      </c>
      <c r="I231" s="311"/>
      <c r="J231" s="311"/>
      <c r="K231" s="308"/>
      <c r="L231" s="308">
        <f t="shared" ca="1" si="126"/>
        <v>40000</v>
      </c>
      <c r="M231" s="308"/>
      <c r="N231" s="308">
        <f t="shared" ca="1" si="127"/>
        <v>9980</v>
      </c>
      <c r="O231" s="308"/>
      <c r="P231" s="308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</row>
    <row r="232" spans="1:26" ht="20.25" customHeight="1">
      <c r="A232" s="313"/>
      <c r="B232" s="314"/>
      <c r="C232" s="310" t="s">
        <v>16</v>
      </c>
      <c r="D232" s="315" t="s">
        <v>38</v>
      </c>
      <c r="E232" s="316"/>
      <c r="F232" s="316"/>
      <c r="G232" s="317"/>
      <c r="H232" s="318"/>
      <c r="I232" s="306"/>
      <c r="J232" s="311"/>
      <c r="K232" s="308"/>
      <c r="L232" s="308"/>
      <c r="M232" s="308"/>
      <c r="N232" s="308"/>
      <c r="O232" s="307"/>
      <c r="P232" s="307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</row>
    <row r="233" spans="1:26" ht="20.25" customHeight="1">
      <c r="A233" s="313"/>
      <c r="B233" s="314"/>
      <c r="C233" s="314"/>
      <c r="D233" s="319" t="s">
        <v>117</v>
      </c>
      <c r="E233" s="320"/>
      <c r="F233" s="320"/>
      <c r="G233" s="321"/>
      <c r="H233" s="322" t="s">
        <v>35</v>
      </c>
      <c r="I233" s="311">
        <f t="shared" ref="I233:J233" ca="1" si="128">I244+I255</f>
        <v>100</v>
      </c>
      <c r="J233" s="311">
        <f t="shared" ca="1" si="128"/>
        <v>110</v>
      </c>
      <c r="K233" s="308">
        <f ca="1">IF(I233&gt;0,J233*100/I233,0)</f>
        <v>110</v>
      </c>
      <c r="L233" s="308"/>
      <c r="M233" s="308"/>
      <c r="N233" s="308"/>
      <c r="O233" s="308"/>
      <c r="P233" s="308"/>
      <c r="Q233" s="299"/>
      <c r="R233" s="299"/>
      <c r="S233" s="299"/>
      <c r="T233" s="299"/>
      <c r="U233" s="299"/>
      <c r="V233" s="299"/>
      <c r="W233" s="299"/>
      <c r="X233" s="299"/>
      <c r="Y233" s="299"/>
      <c r="Z233" s="299"/>
    </row>
    <row r="234" spans="1:26" ht="20.25" customHeight="1">
      <c r="A234" s="313"/>
      <c r="B234" s="314"/>
      <c r="C234" s="314"/>
      <c r="D234" s="323" t="s">
        <v>43</v>
      </c>
      <c r="E234" s="320"/>
      <c r="F234" s="320"/>
      <c r="G234" s="321"/>
      <c r="H234" s="322"/>
      <c r="I234" s="311"/>
      <c r="J234" s="311"/>
      <c r="K234" s="308"/>
      <c r="L234" s="308"/>
      <c r="M234" s="308"/>
      <c r="N234" s="308"/>
      <c r="O234" s="307"/>
      <c r="P234" s="307"/>
      <c r="Q234" s="299"/>
      <c r="R234" s="299"/>
      <c r="S234" s="299"/>
      <c r="T234" s="299"/>
      <c r="U234" s="299"/>
      <c r="V234" s="299"/>
      <c r="W234" s="299"/>
      <c r="X234" s="299"/>
      <c r="Y234" s="299"/>
      <c r="Z234" s="299"/>
    </row>
    <row r="235" spans="1:26" ht="20.25" customHeight="1">
      <c r="A235" s="313"/>
      <c r="B235" s="314"/>
      <c r="C235" s="314"/>
      <c r="D235" s="314"/>
      <c r="E235" s="324" t="s">
        <v>118</v>
      </c>
      <c r="F235" s="320"/>
      <c r="G235" s="321"/>
      <c r="H235" s="322" t="s">
        <v>35</v>
      </c>
      <c r="I235" s="311">
        <f t="shared" ref="I235:J235" ca="1" si="129">I246+I257</f>
        <v>0</v>
      </c>
      <c r="J235" s="311">
        <f t="shared" ca="1" si="129"/>
        <v>0</v>
      </c>
      <c r="K235" s="308">
        <f t="shared" ref="K235:K237" ca="1" si="130">IF(I235&gt;0,J235*100/I235,0)</f>
        <v>0</v>
      </c>
      <c r="L235" s="308"/>
      <c r="M235" s="308"/>
      <c r="N235" s="308"/>
      <c r="O235" s="308"/>
      <c r="P235" s="308"/>
      <c r="Q235" s="299"/>
      <c r="R235" s="299"/>
      <c r="S235" s="299"/>
      <c r="T235" s="299"/>
      <c r="U235" s="299"/>
      <c r="V235" s="299"/>
      <c r="W235" s="299"/>
      <c r="X235" s="299"/>
      <c r="Y235" s="299"/>
      <c r="Z235" s="299"/>
    </row>
    <row r="236" spans="1:26" ht="20.25" customHeight="1">
      <c r="A236" s="313"/>
      <c r="B236" s="314"/>
      <c r="C236" s="314"/>
      <c r="D236" s="314"/>
      <c r="E236" s="324" t="s">
        <v>119</v>
      </c>
      <c r="F236" s="320"/>
      <c r="G236" s="321"/>
      <c r="H236" s="322" t="s">
        <v>66</v>
      </c>
      <c r="I236" s="311">
        <f t="shared" ref="I236:J236" ca="1" si="131">I247+I258</f>
        <v>4</v>
      </c>
      <c r="J236" s="311">
        <f t="shared" ca="1" si="131"/>
        <v>1</v>
      </c>
      <c r="K236" s="308">
        <f t="shared" ca="1" si="130"/>
        <v>25</v>
      </c>
      <c r="L236" s="308"/>
      <c r="M236" s="308"/>
      <c r="N236" s="308"/>
      <c r="O236" s="308"/>
      <c r="P236" s="308"/>
      <c r="Q236" s="299"/>
      <c r="R236" s="299"/>
      <c r="S236" s="299"/>
      <c r="T236" s="299"/>
      <c r="U236" s="299"/>
      <c r="V236" s="299"/>
      <c r="W236" s="299"/>
      <c r="X236" s="299"/>
      <c r="Y236" s="299"/>
      <c r="Z236" s="299"/>
    </row>
    <row r="237" spans="1:26" ht="20.25" hidden="1" customHeight="1">
      <c r="A237" s="325"/>
      <c r="B237" s="326"/>
      <c r="C237" s="327" t="s">
        <v>120</v>
      </c>
      <c r="D237" s="328"/>
      <c r="E237" s="328"/>
      <c r="F237" s="328"/>
      <c r="G237" s="329"/>
      <c r="H237" s="255" t="s">
        <v>35</v>
      </c>
      <c r="I237" s="330">
        <f t="shared" ref="I237:J237" ca="1" si="132">I244</f>
        <v>100</v>
      </c>
      <c r="J237" s="330">
        <f t="shared" ca="1" si="132"/>
        <v>110</v>
      </c>
      <c r="K237" s="331">
        <f t="shared" ca="1" si="130"/>
        <v>110</v>
      </c>
      <c r="L237" s="332"/>
      <c r="M237" s="332"/>
      <c r="N237" s="332"/>
      <c r="O237" s="332"/>
      <c r="P237" s="332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</row>
    <row r="238" spans="1:26" ht="20.25" hidden="1" customHeight="1">
      <c r="A238" s="333"/>
      <c r="B238" s="334"/>
      <c r="C238" s="335" t="s">
        <v>16</v>
      </c>
      <c r="D238" s="336" t="s">
        <v>17</v>
      </c>
      <c r="E238" s="334"/>
      <c r="F238" s="334"/>
      <c r="G238" s="337"/>
      <c r="H238" s="338" t="s">
        <v>12</v>
      </c>
      <c r="I238" s="339"/>
      <c r="J238" s="339"/>
      <c r="K238" s="340"/>
      <c r="L238" s="341">
        <f ca="1">L239+L240+L241+L242</f>
        <v>293300</v>
      </c>
      <c r="M238" s="341"/>
      <c r="N238" s="341">
        <f ca="1">N239+N240+N241+N242</f>
        <v>214602.33000000002</v>
      </c>
      <c r="O238" s="341">
        <f ca="1">IF(L238&gt;0,N238*100/L238,0)</f>
        <v>73.168199795431292</v>
      </c>
      <c r="P238" s="341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5"/>
      <c r="B239" s="342"/>
      <c r="C239" s="40"/>
      <c r="D239" s="41" t="s">
        <v>97</v>
      </c>
      <c r="E239" s="40"/>
      <c r="F239" s="40"/>
      <c r="G239" s="42"/>
      <c r="H239" s="164" t="s">
        <v>12</v>
      </c>
      <c r="I239" s="165"/>
      <c r="J239" s="165"/>
      <c r="K239" s="166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43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119083.33)</f>
        <v>119083.33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44"/>
      <c r="B240" s="342"/>
      <c r="C240" s="345"/>
      <c r="D240" s="41" t="s">
        <v>98</v>
      </c>
      <c r="E240" s="40"/>
      <c r="F240" s="40"/>
      <c r="G240" s="42"/>
      <c r="H240" s="164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43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5"/>
      <c r="P240" s="45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</row>
    <row r="241" spans="1:26" ht="20.25" hidden="1" customHeight="1">
      <c r="A241" s="344"/>
      <c r="B241" s="342"/>
      <c r="C241" s="345"/>
      <c r="D241" s="41" t="s">
        <v>116</v>
      </c>
      <c r="E241" s="40"/>
      <c r="F241" s="40"/>
      <c r="G241" s="42"/>
      <c r="H241" s="164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43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</row>
    <row r="242" spans="1:26" ht="20.25" hidden="1" customHeight="1">
      <c r="A242" s="344"/>
      <c r="B242" s="342"/>
      <c r="C242" s="345"/>
      <c r="D242" s="41" t="s">
        <v>100</v>
      </c>
      <c r="E242" s="40"/>
      <c r="F242" s="40"/>
      <c r="G242" s="42"/>
      <c r="H242" s="164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43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9980)</f>
        <v>9980</v>
      </c>
      <c r="O242" s="45"/>
      <c r="P242" s="45"/>
      <c r="Q242" s="346"/>
      <c r="R242" s="346"/>
      <c r="S242" s="346"/>
      <c r="T242" s="346"/>
      <c r="U242" s="346"/>
      <c r="V242" s="346"/>
      <c r="W242" s="346"/>
      <c r="X242" s="346"/>
      <c r="Y242" s="346"/>
      <c r="Z242" s="346"/>
    </row>
    <row r="243" spans="1:26" ht="20.25" hidden="1" customHeight="1">
      <c r="A243" s="347"/>
      <c r="B243" s="348"/>
      <c r="C243" s="345" t="s">
        <v>16</v>
      </c>
      <c r="D243" s="256" t="s">
        <v>38</v>
      </c>
      <c r="E243" s="349"/>
      <c r="F243" s="349"/>
      <c r="G243" s="350"/>
      <c r="H243" s="351"/>
      <c r="I243" s="165"/>
      <c r="J243" s="44"/>
      <c r="K243" s="45"/>
      <c r="L243" s="45"/>
      <c r="M243" s="45"/>
      <c r="N243" s="45"/>
      <c r="O243" s="166"/>
      <c r="P243" s="166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47"/>
      <c r="B244" s="348"/>
      <c r="C244" s="348"/>
      <c r="D244" s="258" t="s">
        <v>117</v>
      </c>
      <c r="E244" s="352"/>
      <c r="F244" s="352"/>
      <c r="G244" s="353"/>
      <c r="H244" s="354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55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5">
        <f ca="1">IF(I244&gt;0,J244*100/I244,0)</f>
        <v>110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47"/>
      <c r="B245" s="348"/>
      <c r="C245" s="348"/>
      <c r="D245" s="356" t="s">
        <v>43</v>
      </c>
      <c r="E245" s="352"/>
      <c r="F245" s="352"/>
      <c r="G245" s="353"/>
      <c r="H245" s="354"/>
      <c r="I245" s="44"/>
      <c r="J245" s="44"/>
      <c r="K245" s="45"/>
      <c r="L245" s="45"/>
      <c r="M245" s="45"/>
      <c r="N245" s="45"/>
      <c r="O245" s="166"/>
      <c r="P245" s="166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47"/>
      <c r="B246" s="348"/>
      <c r="C246" s="348"/>
      <c r="D246" s="348"/>
      <c r="E246" s="257" t="s">
        <v>118</v>
      </c>
      <c r="F246" s="352"/>
      <c r="G246" s="353"/>
      <c r="H246" s="354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55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47"/>
      <c r="B247" s="348"/>
      <c r="C247" s="348"/>
      <c r="D247" s="348"/>
      <c r="E247" s="257" t="s">
        <v>119</v>
      </c>
      <c r="F247" s="352"/>
      <c r="G247" s="353"/>
      <c r="H247" s="354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55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1)</f>
        <v>1</v>
      </c>
      <c r="K247" s="45">
        <f t="shared" ca="1" si="133"/>
        <v>25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25"/>
      <c r="B248" s="326"/>
      <c r="C248" s="327" t="s">
        <v>121</v>
      </c>
      <c r="D248" s="328"/>
      <c r="E248" s="328"/>
      <c r="F248" s="328"/>
      <c r="G248" s="329"/>
      <c r="H248" s="255" t="s">
        <v>35</v>
      </c>
      <c r="I248" s="330">
        <f t="shared" ref="I248:J248" ca="1" si="134">I255</f>
        <v>0</v>
      </c>
      <c r="J248" s="330">
        <f t="shared" ca="1" si="134"/>
        <v>0</v>
      </c>
      <c r="K248" s="331">
        <f t="shared" ca="1" si="133"/>
        <v>0</v>
      </c>
      <c r="L248" s="332"/>
      <c r="M248" s="332"/>
      <c r="N248" s="332"/>
      <c r="O248" s="332"/>
      <c r="P248" s="332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</row>
    <row r="249" spans="1:26" ht="20.25" hidden="1" customHeight="1">
      <c r="A249" s="333"/>
      <c r="B249" s="334"/>
      <c r="C249" s="335" t="s">
        <v>16</v>
      </c>
      <c r="D249" s="357" t="s">
        <v>17</v>
      </c>
      <c r="E249" s="334"/>
      <c r="F249" s="334"/>
      <c r="G249" s="337"/>
      <c r="H249" s="338" t="s">
        <v>12</v>
      </c>
      <c r="I249" s="339"/>
      <c r="J249" s="339"/>
      <c r="K249" s="340"/>
      <c r="L249" s="341">
        <f ca="1">L250+L251+L252+L253</f>
        <v>0</v>
      </c>
      <c r="M249" s="341"/>
      <c r="N249" s="341">
        <f ca="1">N250+N251+N252+N253</f>
        <v>0</v>
      </c>
      <c r="O249" s="341">
        <f ca="1">IF(L249&gt;0,N249*100/L249,0)</f>
        <v>0</v>
      </c>
      <c r="P249" s="341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5"/>
      <c r="B250" s="342"/>
      <c r="C250" s="40"/>
      <c r="D250" s="41" t="s">
        <v>97</v>
      </c>
      <c r="E250" s="40"/>
      <c r="F250" s="40"/>
      <c r="G250" s="42"/>
      <c r="H250" s="164" t="s">
        <v>12</v>
      </c>
      <c r="I250" s="165"/>
      <c r="J250" s="165"/>
      <c r="K250" s="166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43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44"/>
      <c r="B251" s="342"/>
      <c r="C251" s="345"/>
      <c r="D251" s="41" t="s">
        <v>98</v>
      </c>
      <c r="E251" s="40"/>
      <c r="F251" s="40"/>
      <c r="G251" s="42"/>
      <c r="H251" s="164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43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</row>
    <row r="252" spans="1:26" ht="20.25" hidden="1" customHeight="1">
      <c r="A252" s="344"/>
      <c r="B252" s="342"/>
      <c r="C252" s="345"/>
      <c r="D252" s="41" t="s">
        <v>116</v>
      </c>
      <c r="E252" s="40"/>
      <c r="F252" s="40"/>
      <c r="G252" s="42"/>
      <c r="H252" s="164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43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</row>
    <row r="253" spans="1:26" ht="20.25" hidden="1" customHeight="1">
      <c r="A253" s="344"/>
      <c r="B253" s="342"/>
      <c r="C253" s="345"/>
      <c r="D253" s="41" t="s">
        <v>100</v>
      </c>
      <c r="E253" s="40"/>
      <c r="F253" s="40"/>
      <c r="G253" s="42"/>
      <c r="H253" s="164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43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</row>
    <row r="254" spans="1:26" ht="20.25" hidden="1" customHeight="1">
      <c r="A254" s="347"/>
      <c r="B254" s="348"/>
      <c r="C254" s="345" t="s">
        <v>16</v>
      </c>
      <c r="D254" s="256" t="s">
        <v>38</v>
      </c>
      <c r="E254" s="349"/>
      <c r="F254" s="349"/>
      <c r="G254" s="350"/>
      <c r="H254" s="351"/>
      <c r="I254" s="165"/>
      <c r="J254" s="44"/>
      <c r="K254" s="45"/>
      <c r="L254" s="45"/>
      <c r="M254" s="45"/>
      <c r="N254" s="45"/>
      <c r="O254" s="166"/>
      <c r="P254" s="166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47"/>
      <c r="B255" s="348"/>
      <c r="C255" s="348"/>
      <c r="D255" s="258" t="s">
        <v>117</v>
      </c>
      <c r="E255" s="352"/>
      <c r="F255" s="352"/>
      <c r="G255" s="353"/>
      <c r="H255" s="354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55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47"/>
      <c r="B256" s="348"/>
      <c r="C256" s="348"/>
      <c r="D256" s="356" t="s">
        <v>43</v>
      </c>
      <c r="E256" s="352"/>
      <c r="F256" s="352"/>
      <c r="G256" s="353"/>
      <c r="H256" s="354"/>
      <c r="I256" s="44"/>
      <c r="J256" s="44"/>
      <c r="K256" s="45"/>
      <c r="L256" s="45"/>
      <c r="M256" s="45"/>
      <c r="N256" s="45"/>
      <c r="O256" s="166"/>
      <c r="P256" s="166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47"/>
      <c r="B257" s="348"/>
      <c r="C257" s="348"/>
      <c r="D257" s="348"/>
      <c r="E257" s="257" t="s">
        <v>118</v>
      </c>
      <c r="F257" s="352"/>
      <c r="G257" s="353"/>
      <c r="H257" s="354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55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47"/>
      <c r="B258" s="348"/>
      <c r="C258" s="348"/>
      <c r="D258" s="348"/>
      <c r="E258" s="257" t="s">
        <v>119</v>
      </c>
      <c r="F258" s="352"/>
      <c r="G258" s="353"/>
      <c r="H258" s="354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55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20.25" customHeight="1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36">I271</f>
        <v>286</v>
      </c>
      <c r="J260" s="242">
        <f t="shared" ca="1" si="136"/>
        <v>136</v>
      </c>
      <c r="K260" s="243">
        <f ca="1">IF(I260&gt;0,J260*100/I260,0)</f>
        <v>47.552447552447553</v>
      </c>
      <c r="L260" s="244"/>
      <c r="M260" s="244"/>
      <c r="N260" s="244"/>
      <c r="O260" s="244"/>
      <c r="P260" s="244"/>
    </row>
    <row r="261" spans="1:26" ht="20.25" customHeight="1">
      <c r="A261" s="146"/>
      <c r="B261" s="147"/>
      <c r="C261" s="148" t="s">
        <v>16</v>
      </c>
      <c r="D261" s="149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37">L262+L263</f>
        <v>641700</v>
      </c>
      <c r="M261" s="154">
        <f t="shared" ca="1" si="137"/>
        <v>641700</v>
      </c>
      <c r="N261" s="154">
        <f t="shared" ca="1" si="137"/>
        <v>373387.44</v>
      </c>
      <c r="O261" s="154">
        <f t="shared" ref="O261:O269" ca="1" si="138">IF(L261&gt;0,N261*100/L261,0)</f>
        <v>58.187227676484341</v>
      </c>
      <c r="P261" s="154">
        <f t="shared" ref="P261:P269" ca="1" si="139">IF(M261&gt;0,N261*100/M261,0)</f>
        <v>58.187227676484341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641700</v>
      </c>
      <c r="N263" s="45">
        <f t="shared" ca="1" si="141"/>
        <v>373387.44</v>
      </c>
      <c r="O263" s="45">
        <f t="shared" ca="1" si="138"/>
        <v>58.187227676484341</v>
      </c>
      <c r="P263" s="45">
        <f t="shared" ca="1" si="139"/>
        <v>58.187227676484341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42">L265+L266</f>
        <v>641700</v>
      </c>
      <c r="M264" s="38">
        <f t="shared" ca="1" si="142"/>
        <v>641700</v>
      </c>
      <c r="N264" s="38">
        <f t="shared" ca="1" si="142"/>
        <v>373387.44</v>
      </c>
      <c r="O264" s="38">
        <f t="shared" ca="1" si="138"/>
        <v>58.187227676484341</v>
      </c>
      <c r="P264" s="38">
        <f t="shared" ca="1" si="139"/>
        <v>58.187227676484341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641700)</f>
        <v>641700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373387.44)</f>
        <v>373387.44</v>
      </c>
      <c r="O266" s="45">
        <f t="shared" ca="1" si="138"/>
        <v>58.187227676484341</v>
      </c>
      <c r="P266" s="45">
        <f t="shared" ca="1" si="139"/>
        <v>58.187227676484341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69"/>
      <c r="B270" s="170"/>
      <c r="C270" s="159" t="s">
        <v>16</v>
      </c>
      <c r="D270" s="171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20.25" customHeight="1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1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136)</f>
        <v>136</v>
      </c>
      <c r="K271" s="162">
        <f ca="1">IF(I271&gt;0,J271*100/I271,0)</f>
        <v>47.552447552447553</v>
      </c>
      <c r="L271" s="162"/>
      <c r="M271" s="162"/>
      <c r="N271" s="162"/>
      <c r="O271" s="162"/>
      <c r="P271" s="162"/>
    </row>
    <row r="272" spans="1:26" ht="20.25" hidden="1" customHeight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20.25" customHeight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20.25" customHeight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20.25" customHeight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44">I288</f>
        <v>20</v>
      </c>
      <c r="J275" s="387">
        <f t="shared" ca="1" si="144"/>
        <v>20</v>
      </c>
      <c r="K275" s="388">
        <f t="shared" ref="K275:K276" ca="1" si="145">IF(I275&gt;0,J275*100/I275,0)</f>
        <v>100</v>
      </c>
      <c r="L275" s="389"/>
      <c r="M275" s="389"/>
      <c r="N275" s="389"/>
      <c r="O275" s="389"/>
      <c r="P275" s="389"/>
    </row>
    <row r="276" spans="1:26" ht="20.25" customHeight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46">I287</f>
        <v>200</v>
      </c>
      <c r="J276" s="390">
        <f t="shared" ca="1" si="146"/>
        <v>200</v>
      </c>
      <c r="K276" s="389">
        <f t="shared" ca="1" si="145"/>
        <v>100</v>
      </c>
      <c r="L276" s="389"/>
      <c r="M276" s="389"/>
      <c r="N276" s="389"/>
      <c r="O276" s="389"/>
      <c r="P276" s="389"/>
    </row>
    <row r="277" spans="1:26" ht="20.25" customHeight="1">
      <c r="A277" s="146"/>
      <c r="B277" s="147"/>
      <c r="C277" s="148" t="s">
        <v>16</v>
      </c>
      <c r="D277" s="149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47">L278+L279</f>
        <v>86270</v>
      </c>
      <c r="M277" s="154">
        <f t="shared" ca="1" si="147"/>
        <v>86270</v>
      </c>
      <c r="N277" s="154">
        <f t="shared" ca="1" si="147"/>
        <v>68760</v>
      </c>
      <c r="O277" s="154">
        <f t="shared" ref="O277:O285" ca="1" si="148">IF(L277&gt;0,N277*100/L277,0)</f>
        <v>79.703257215718097</v>
      </c>
      <c r="P277" s="154">
        <f t="shared" ref="P277:P285" ca="1" si="149">IF(M277&gt;0,N277*100/M277,0)</f>
        <v>79.703257215718097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68760</v>
      </c>
      <c r="O279" s="45">
        <f t="shared" ca="1" si="148"/>
        <v>79.703257215718097</v>
      </c>
      <c r="P279" s="45">
        <f t="shared" ca="1" si="149"/>
        <v>79.703257215718097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68760</v>
      </c>
      <c r="O280" s="38">
        <f t="shared" ca="1" si="148"/>
        <v>79.703257215718097</v>
      </c>
      <c r="P280" s="38">
        <f t="shared" ca="1" si="149"/>
        <v>79.703257215718097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68760)</f>
        <v>68760</v>
      </c>
      <c r="O282" s="45">
        <f t="shared" ca="1" si="148"/>
        <v>79.703257215718097</v>
      </c>
      <c r="P282" s="45">
        <f t="shared" ca="1" si="149"/>
        <v>79.703257215718097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69"/>
      <c r="B286" s="170"/>
      <c r="C286" s="163" t="s">
        <v>16</v>
      </c>
      <c r="D286" s="171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20.25" customHeight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1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200)</f>
        <v>200</v>
      </c>
      <c r="K287" s="162">
        <f t="shared" ref="K287:K288" ca="1" si="154">IF(I287&gt;0,J287*100/I287,0)</f>
        <v>100</v>
      </c>
      <c r="L287" s="162"/>
      <c r="M287" s="162"/>
      <c r="N287" s="162"/>
      <c r="O287" s="162"/>
      <c r="P287" s="162"/>
    </row>
    <row r="288" spans="1:26" ht="20.25" customHeight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0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20)</f>
        <v>20</v>
      </c>
      <c r="K288" s="391">
        <f t="shared" ca="1" si="154"/>
        <v>100</v>
      </c>
      <c r="L288" s="162"/>
      <c r="M288" s="162"/>
      <c r="N288" s="162"/>
      <c r="O288" s="162"/>
      <c r="P288" s="162"/>
    </row>
    <row r="289" spans="1:26" ht="20.25" customHeight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20.25" customHeight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1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20)</f>
        <v>20</v>
      </c>
      <c r="K290" s="162">
        <f t="shared" ref="K290:K291" ca="1" si="155">IF(I290&gt;0,J290*100/I290,0)</f>
        <v>100</v>
      </c>
      <c r="L290" s="162"/>
      <c r="M290" s="162"/>
      <c r="N290" s="162"/>
      <c r="O290" s="162"/>
      <c r="P290" s="162"/>
    </row>
    <row r="291" spans="1:26" ht="20.25" customHeight="1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1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20)</f>
        <v>20</v>
      </c>
      <c r="K291" s="162">
        <f t="shared" ca="1" si="155"/>
        <v>100</v>
      </c>
      <c r="L291" s="162"/>
      <c r="M291" s="162"/>
      <c r="N291" s="162"/>
      <c r="O291" s="162"/>
      <c r="P291" s="162"/>
    </row>
    <row r="292" spans="1:26" ht="20.25" customHeight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20.25" customHeight="1">
      <c r="A293" s="169"/>
      <c r="B293" s="170"/>
      <c r="C293" s="170"/>
      <c r="D293" s="392"/>
      <c r="E293" s="184" t="s">
        <v>135</v>
      </c>
      <c r="F293" s="177"/>
      <c r="G293" s="178"/>
      <c r="H293" s="180" t="s">
        <v>35</v>
      </c>
      <c r="I293" s="161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1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20)</f>
        <v>20</v>
      </c>
      <c r="K293" s="162">
        <f t="shared" ref="K293:K294" ca="1" si="156">IF(I293&gt;0,J293*100/I293,0)</f>
        <v>100</v>
      </c>
      <c r="L293" s="162"/>
      <c r="M293" s="162"/>
      <c r="N293" s="162"/>
      <c r="O293" s="162"/>
      <c r="P293" s="162"/>
    </row>
    <row r="294" spans="1:26" ht="20.25" customHeight="1">
      <c r="A294" s="360"/>
      <c r="B294" s="361"/>
      <c r="C294" s="361"/>
      <c r="D294" s="363"/>
      <c r="E294" s="399" t="s">
        <v>136</v>
      </c>
      <c r="F294" s="363"/>
      <c r="G294" s="364"/>
      <c r="H294" s="400" t="s">
        <v>35</v>
      </c>
      <c r="I294" s="401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57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20)</f>
        <v>20</v>
      </c>
      <c r="K294" s="366">
        <f t="shared" ca="1" si="156"/>
        <v>100</v>
      </c>
      <c r="L294" s="366"/>
      <c r="M294" s="366"/>
      <c r="N294" s="366"/>
      <c r="O294" s="366"/>
      <c r="P294" s="366"/>
    </row>
    <row r="295" spans="1:26" ht="20.25" customHeight="1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20.25" customHeight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20.25" customHeight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57">I309</f>
        <v>100</v>
      </c>
      <c r="J297" s="421">
        <f t="shared" ca="1" si="157"/>
        <v>100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20.25" customHeight="1">
      <c r="A298" s="146"/>
      <c r="B298" s="147"/>
      <c r="C298" s="148" t="s">
        <v>16</v>
      </c>
      <c r="D298" s="149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58">L299+L300</f>
        <v>412000</v>
      </c>
      <c r="M298" s="154">
        <f t="shared" ca="1" si="158"/>
        <v>459000</v>
      </c>
      <c r="N298" s="154">
        <f t="shared" ca="1" si="158"/>
        <v>379022</v>
      </c>
      <c r="O298" s="154">
        <f t="shared" ref="O298:O306" ca="1" si="159">IF(L298&gt;0,N298*100/L298,0)</f>
        <v>91.99563106796117</v>
      </c>
      <c r="P298" s="154">
        <f t="shared" ref="P298:P306" ca="1" si="160">IF(M298&gt;0,N298*100/M298,0)</f>
        <v>82.575599128540304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459000</v>
      </c>
      <c r="N300" s="45">
        <f t="shared" ca="1" si="162"/>
        <v>379022</v>
      </c>
      <c r="O300" s="45">
        <f t="shared" ca="1" si="159"/>
        <v>91.99563106796117</v>
      </c>
      <c r="P300" s="45">
        <f t="shared" ca="1" si="160"/>
        <v>82.575599128540304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63">L302+L303</f>
        <v>412000</v>
      </c>
      <c r="M301" s="38">
        <f t="shared" ca="1" si="163"/>
        <v>459000</v>
      </c>
      <c r="N301" s="38">
        <f t="shared" ca="1" si="163"/>
        <v>379022</v>
      </c>
      <c r="O301" s="38">
        <f t="shared" ca="1" si="159"/>
        <v>91.99563106796117</v>
      </c>
      <c r="P301" s="38">
        <f t="shared" ca="1" si="160"/>
        <v>82.575599128540304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459000)</f>
        <v>459000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379022)</f>
        <v>379022</v>
      </c>
      <c r="O303" s="45">
        <f t="shared" ca="1" si="159"/>
        <v>91.99563106796117</v>
      </c>
      <c r="P303" s="45">
        <f t="shared" ca="1" si="160"/>
        <v>82.575599128540304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69"/>
      <c r="B307" s="170"/>
      <c r="C307" s="163" t="s">
        <v>16</v>
      </c>
      <c r="D307" s="171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1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100)</f>
        <v>100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1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80)</f>
        <v>80</v>
      </c>
      <c r="K310" s="38">
        <f t="shared" ca="1" si="165"/>
        <v>80</v>
      </c>
      <c r="L310" s="38"/>
      <c r="M310" s="38"/>
      <c r="N310" s="38"/>
      <c r="O310" s="38"/>
      <c r="P310" s="38"/>
    </row>
    <row r="311" spans="1:26" ht="20.25" customHeight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1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20)</f>
        <v>20</v>
      </c>
      <c r="K311" s="38">
        <f t="shared" ca="1" si="165"/>
        <v>20</v>
      </c>
      <c r="L311" s="38"/>
      <c r="M311" s="38"/>
      <c r="N311" s="38"/>
      <c r="O311" s="38"/>
      <c r="P311" s="38"/>
    </row>
    <row r="312" spans="1:26" ht="20.25" customHeight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1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8)</f>
        <v>8</v>
      </c>
      <c r="K312" s="38">
        <f t="shared" ca="1" si="165"/>
        <v>40</v>
      </c>
      <c r="L312" s="38"/>
      <c r="M312" s="38"/>
      <c r="N312" s="38"/>
      <c r="O312" s="38"/>
      <c r="P312" s="38"/>
    </row>
    <row r="313" spans="1:26" ht="20.25" customHeight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20.25" customHeight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66">I325</f>
        <v>5</v>
      </c>
      <c r="J314" s="421">
        <f t="shared" ca="1" si="166"/>
        <v>5</v>
      </c>
      <c r="K314" s="422">
        <f ca="1">IF(I314&gt;0,J314*100/I314,0)</f>
        <v>100</v>
      </c>
      <c r="L314" s="423"/>
      <c r="M314" s="423"/>
      <c r="N314" s="423"/>
      <c r="O314" s="423"/>
      <c r="P314" s="423"/>
    </row>
    <row r="315" spans="1:26" ht="20.25" customHeight="1">
      <c r="A315" s="146"/>
      <c r="B315" s="147"/>
      <c r="C315" s="148" t="s">
        <v>16</v>
      </c>
      <c r="D315" s="149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67">L316+L317</f>
        <v>4641000</v>
      </c>
      <c r="M315" s="154">
        <f t="shared" ca="1" si="167"/>
        <v>4726341.1899999995</v>
      </c>
      <c r="N315" s="154">
        <f t="shared" ca="1" si="167"/>
        <v>4474483.18</v>
      </c>
      <c r="O315" s="154">
        <f t="shared" ref="O315:O323" ca="1" si="168">IF(L315&gt;0,N315*100/L315,0)</f>
        <v>96.412048696401641</v>
      </c>
      <c r="P315" s="154">
        <f t="shared" ref="P315:P323" ca="1" si="169">IF(M315&gt;0,N315*100/M315,0)</f>
        <v>94.671184328950247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4726341.1899999995</v>
      </c>
      <c r="N317" s="45">
        <f t="shared" ca="1" si="171"/>
        <v>4474483.18</v>
      </c>
      <c r="O317" s="45">
        <f t="shared" ca="1" si="168"/>
        <v>96.412048696401641</v>
      </c>
      <c r="P317" s="45">
        <f t="shared" ca="1" si="169"/>
        <v>94.671184328950247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72">L319+L320</f>
        <v>1041000</v>
      </c>
      <c r="M318" s="38">
        <f t="shared" ca="1" si="172"/>
        <v>1138900</v>
      </c>
      <c r="N318" s="38">
        <f t="shared" ca="1" si="172"/>
        <v>921401.99</v>
      </c>
      <c r="O318" s="38">
        <f t="shared" ca="1" si="168"/>
        <v>88.511238232468784</v>
      </c>
      <c r="P318" s="38">
        <f t="shared" ca="1" si="169"/>
        <v>80.902800070243217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1138900)</f>
        <v>1138900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921401.99)</f>
        <v>921401.99</v>
      </c>
      <c r="O320" s="45">
        <f t="shared" ca="1" si="168"/>
        <v>88.511238232468784</v>
      </c>
      <c r="P320" s="45">
        <f t="shared" ca="1" si="169"/>
        <v>80.902800070243217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73">L322+L323</f>
        <v>3600000</v>
      </c>
      <c r="M321" s="38">
        <f t="shared" ca="1" si="173"/>
        <v>3587441.19</v>
      </c>
      <c r="N321" s="38">
        <f t="shared" ca="1" si="173"/>
        <v>3553081.19</v>
      </c>
      <c r="O321" s="38">
        <f t="shared" ca="1" si="168"/>
        <v>98.69669972222222</v>
      </c>
      <c r="P321" s="38">
        <f t="shared" ca="1" si="169"/>
        <v>99.042214264145187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3587441.19)</f>
        <v>3587441.19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3553081.19)</f>
        <v>3553081.19</v>
      </c>
      <c r="O323" s="45">
        <f t="shared" ca="1" si="168"/>
        <v>98.69669972222222</v>
      </c>
      <c r="P323" s="45">
        <f t="shared" ca="1" si="169"/>
        <v>99.042214264145187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69"/>
      <c r="B324" s="170"/>
      <c r="C324" s="163" t="s">
        <v>16</v>
      </c>
      <c r="D324" s="171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20.25" customHeight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1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5)</f>
        <v>5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20.25" customHeight="1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20.25" customHeight="1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21">
        <f ca="1">J338+J341+J342+J343</f>
        <v>36202</v>
      </c>
      <c r="K327" s="422">
        <f ca="1">IF(I327&gt;0,J327*100/I327,0)</f>
        <v>199.13091309130914</v>
      </c>
      <c r="L327" s="423"/>
      <c r="M327" s="423"/>
      <c r="N327" s="423"/>
      <c r="O327" s="423"/>
      <c r="P327" s="423"/>
    </row>
    <row r="328" spans="1:26" ht="20.25" customHeight="1">
      <c r="A328" s="146"/>
      <c r="B328" s="147"/>
      <c r="C328" s="148" t="s">
        <v>16</v>
      </c>
      <c r="D328" s="149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74">L329+L330</f>
        <v>2297000</v>
      </c>
      <c r="M328" s="154">
        <f t="shared" ca="1" si="174"/>
        <v>2341000</v>
      </c>
      <c r="N328" s="154">
        <f t="shared" ca="1" si="174"/>
        <v>1686269.95</v>
      </c>
      <c r="O328" s="154">
        <f t="shared" ref="O328:O336" ca="1" si="175">IF(L328&gt;0,N328*100/L328,0)</f>
        <v>73.411839355681323</v>
      </c>
      <c r="P328" s="154">
        <f t="shared" ref="P328:P336" ca="1" si="176">IF(M328&gt;0,N328*100/M328,0)</f>
        <v>72.032035454933791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2341000</v>
      </c>
      <c r="N330" s="45">
        <f t="shared" ca="1" si="178"/>
        <v>1686269.95</v>
      </c>
      <c r="O330" s="45">
        <f t="shared" ca="1" si="175"/>
        <v>73.411839355681323</v>
      </c>
      <c r="P330" s="45">
        <f t="shared" ca="1" si="176"/>
        <v>72.032035454933791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79">L332+L333</f>
        <v>2297000</v>
      </c>
      <c r="M331" s="38">
        <f t="shared" ca="1" si="179"/>
        <v>2332000</v>
      </c>
      <c r="N331" s="38">
        <f t="shared" ca="1" si="179"/>
        <v>1686269.95</v>
      </c>
      <c r="O331" s="38">
        <f t="shared" ca="1" si="175"/>
        <v>73.411839355681323</v>
      </c>
      <c r="P331" s="38">
        <f t="shared" ca="1" si="176"/>
        <v>72.310032161234986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2332000)</f>
        <v>2332000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1686269.95)</f>
        <v>1686269.95</v>
      </c>
      <c r="O333" s="45">
        <f t="shared" ca="1" si="175"/>
        <v>73.411839355681323</v>
      </c>
      <c r="P333" s="45">
        <f t="shared" ca="1" si="176"/>
        <v>72.310032161234986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80">L335+L336</f>
        <v>0</v>
      </c>
      <c r="M334" s="38">
        <f t="shared" ca="1" si="180"/>
        <v>9000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9000)</f>
        <v>9000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69"/>
      <c r="B337" s="170"/>
      <c r="C337" s="163" t="s">
        <v>16</v>
      </c>
      <c r="D337" s="171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20.25" customHeight="1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37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34472)</f>
        <v>34472</v>
      </c>
      <c r="K338" s="38">
        <f ca="1">IF(I338&gt;0,J338*100/I338,0)</f>
        <v>189.61496149614962</v>
      </c>
      <c r="L338" s="38"/>
      <c r="M338" s="38"/>
      <c r="N338" s="38"/>
      <c r="O338" s="38"/>
      <c r="P338" s="38"/>
    </row>
    <row r="339" spans="1:26" ht="20.25" customHeight="1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20.25" customHeight="1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37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47)</f>
        <v>47</v>
      </c>
      <c r="K340" s="38">
        <f ca="1">IF(I340&gt;0,J340*100/I340,0)</f>
        <v>85.454545454545453</v>
      </c>
      <c r="L340" s="38"/>
      <c r="M340" s="38"/>
      <c r="N340" s="38"/>
      <c r="O340" s="38"/>
      <c r="P340" s="38"/>
    </row>
    <row r="341" spans="1:26" ht="20.25" customHeight="1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1673)</f>
        <v>1673</v>
      </c>
      <c r="K341" s="38"/>
      <c r="L341" s="38"/>
      <c r="M341" s="38"/>
      <c r="N341" s="38"/>
      <c r="O341" s="38"/>
      <c r="P341" s="38"/>
    </row>
    <row r="342" spans="1:26" ht="20.25" customHeight="1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55)</f>
        <v>55</v>
      </c>
      <c r="K343" s="38"/>
      <c r="L343" s="38"/>
      <c r="M343" s="38"/>
      <c r="N343" s="38"/>
      <c r="O343" s="38"/>
      <c r="P343" s="38"/>
    </row>
    <row r="344" spans="1:26" ht="20.25" customHeight="1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20.25" customHeight="1">
      <c r="A345" s="146"/>
      <c r="B345" s="147"/>
      <c r="C345" s="148" t="s">
        <v>16</v>
      </c>
      <c r="D345" s="149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81">L346+L347</f>
        <v>10140670</v>
      </c>
      <c r="M345" s="154">
        <f t="shared" ca="1" si="181"/>
        <v>11603780</v>
      </c>
      <c r="N345" s="154">
        <f t="shared" ca="1" si="181"/>
        <v>8673301.4199999999</v>
      </c>
      <c r="O345" s="154">
        <f t="shared" ref="O345:O353" ca="1" si="182">IF(L345&gt;0,N345*100/L345,0)</f>
        <v>85.529865580873846</v>
      </c>
      <c r="P345" s="154">
        <f t="shared" ref="P345:P353" ca="1" si="183">IF(M345&gt;0,N345*100/M345,0)</f>
        <v>74.745483109814217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11603780</v>
      </c>
      <c r="N347" s="45">
        <f t="shared" ca="1" si="185"/>
        <v>8673301.4199999999</v>
      </c>
      <c r="O347" s="45">
        <f t="shared" ca="1" si="182"/>
        <v>85.529865580873846</v>
      </c>
      <c r="P347" s="45">
        <f t="shared" ca="1" si="183"/>
        <v>74.745483109814217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86">L349+L350</f>
        <v>8808470</v>
      </c>
      <c r="M348" s="38">
        <f t="shared" ca="1" si="186"/>
        <v>10256570</v>
      </c>
      <c r="N348" s="38">
        <f t="shared" ca="1" si="186"/>
        <v>7368491.4199999999</v>
      </c>
      <c r="O348" s="38">
        <f t="shared" ca="1" si="182"/>
        <v>83.652341666600449</v>
      </c>
      <c r="P348" s="38">
        <f t="shared" ca="1" si="183"/>
        <v>71.841672410952199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10256570)</f>
        <v>10256570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7368491.42)</f>
        <v>7368491.4199999999</v>
      </c>
      <c r="O350" s="45">
        <f t="shared" ca="1" si="182"/>
        <v>83.652341666600449</v>
      </c>
      <c r="P350" s="45">
        <f t="shared" ca="1" si="183"/>
        <v>71.841672410952199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87">L352+L353</f>
        <v>1332200</v>
      </c>
      <c r="M351" s="38">
        <f t="shared" ca="1" si="187"/>
        <v>1347210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96.852754952828434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1347210)</f>
        <v>1347210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96.852754952828434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45"/>
      <c r="B354" s="253"/>
      <c r="C354" s="246"/>
      <c r="D354" s="429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20.25" customHeight="1">
      <c r="A355" s="431"/>
      <c r="B355" s="432"/>
      <c r="C355" s="433"/>
      <c r="D355" s="434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2225)</f>
        <v>2225</v>
      </c>
      <c r="J355" s="438">
        <f ca="1">J362</f>
        <v>1200</v>
      </c>
      <c r="K355" s="439">
        <f ca="1">IF(I355&gt;0,J355*100/I355,0)</f>
        <v>53.932584269662918</v>
      </c>
      <c r="L355" s="440"/>
      <c r="M355" s="440"/>
      <c r="N355" s="440"/>
      <c r="O355" s="440"/>
      <c r="P355" s="440"/>
    </row>
    <row r="356" spans="1:26" ht="20.25" customHeight="1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20.25" customHeight="1">
      <c r="A357" s="169"/>
      <c r="B357" s="170"/>
      <c r="C357" s="163" t="s">
        <v>16</v>
      </c>
      <c r="D357" s="171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20.25" customHeight="1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2440)</f>
        <v>2440</v>
      </c>
      <c r="K358" s="38">
        <f t="shared" ref="K358:K365" si="188">IF(I358&gt;0,J358*100/I358,0)</f>
        <v>0</v>
      </c>
      <c r="L358" s="162"/>
      <c r="M358" s="162"/>
      <c r="N358" s="162"/>
      <c r="O358" s="162"/>
      <c r="P358" s="162"/>
    </row>
    <row r="359" spans="1:26" ht="20.25" customHeight="1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20194)</f>
        <v>20194</v>
      </c>
      <c r="J359" s="37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21074.78)</f>
        <v>21074.78</v>
      </c>
      <c r="K359" s="38">
        <f t="shared" ca="1" si="188"/>
        <v>104.36159255224324</v>
      </c>
      <c r="L359" s="162"/>
      <c r="M359" s="162"/>
      <c r="N359" s="162"/>
      <c r="O359" s="162"/>
      <c r="P359" s="162"/>
    </row>
    <row r="360" spans="1:26" ht="20.25" customHeight="1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2225)</f>
        <v>2225</v>
      </c>
      <c r="J360" s="37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2031)</f>
        <v>2031</v>
      </c>
      <c r="K360" s="38">
        <f t="shared" ca="1" si="188"/>
        <v>91.280898876404493</v>
      </c>
      <c r="L360" s="162"/>
      <c r="M360" s="162"/>
      <c r="N360" s="162"/>
      <c r="O360" s="162"/>
      <c r="P360" s="162"/>
    </row>
    <row r="361" spans="1:26" ht="20.25" customHeight="1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19341.28)</f>
        <v>19341.28</v>
      </c>
      <c r="K361" s="38">
        <f t="shared" si="188"/>
        <v>0</v>
      </c>
      <c r="L361" s="162"/>
      <c r="M361" s="162"/>
      <c r="N361" s="162"/>
      <c r="O361" s="162"/>
      <c r="P361" s="162"/>
    </row>
    <row r="362" spans="1:26" ht="20.25" customHeight="1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2225)</f>
        <v>2225</v>
      </c>
      <c r="J362" s="37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1200)</f>
        <v>1200</v>
      </c>
      <c r="K362" s="38">
        <f t="shared" ca="1" si="188"/>
        <v>53.932584269662918</v>
      </c>
      <c r="L362" s="162"/>
      <c r="M362" s="162"/>
      <c r="N362" s="162"/>
      <c r="O362" s="162"/>
      <c r="P362" s="162"/>
    </row>
    <row r="363" spans="1:26" ht="20.25" customHeight="1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11488.59)</f>
        <v>11488.59</v>
      </c>
      <c r="K363" s="38">
        <f t="shared" si="188"/>
        <v>0</v>
      </c>
      <c r="L363" s="162"/>
      <c r="M363" s="162"/>
      <c r="N363" s="162"/>
      <c r="O363" s="162"/>
      <c r="P363" s="162"/>
    </row>
    <row r="364" spans="1:26" ht="20.25" customHeight="1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89">I365+I374</f>
        <v>4350</v>
      </c>
      <c r="J364" s="452">
        <f t="shared" ca="1" si="189"/>
        <v>3673</v>
      </c>
      <c r="K364" s="453">
        <f t="shared" ca="1" si="188"/>
        <v>84.436781609195407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20.25" customHeight="1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996)</f>
        <v>996</v>
      </c>
      <c r="J365" s="462">
        <f ca="1">J372</f>
        <v>706</v>
      </c>
      <c r="K365" s="463">
        <f t="shared" ca="1" si="188"/>
        <v>70.883534136546189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20.25" customHeight="1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20.25" customHeight="1">
      <c r="A367" s="169"/>
      <c r="B367" s="170"/>
      <c r="C367" s="163" t="s">
        <v>16</v>
      </c>
      <c r="D367" s="171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20.25" customHeight="1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1056)</f>
        <v>1056</v>
      </c>
      <c r="K368" s="38">
        <f t="shared" ref="K368:K374" si="190">IF(I368&gt;0,J368*100/I368,0)</f>
        <v>0</v>
      </c>
      <c r="L368" s="162"/>
      <c r="M368" s="162"/>
      <c r="N368" s="162"/>
      <c r="O368" s="162"/>
      <c r="P368" s="162"/>
    </row>
    <row r="369" spans="1:26" ht="20.25" customHeight="1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37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9111.35)</f>
        <v>9111.35</v>
      </c>
      <c r="K369" s="38">
        <f t="shared" ca="1" si="190"/>
        <v>101.42880997439609</v>
      </c>
      <c r="L369" s="162"/>
      <c r="M369" s="162"/>
      <c r="N369" s="162"/>
      <c r="O369" s="162"/>
      <c r="P369" s="162"/>
    </row>
    <row r="370" spans="1:26" ht="20.25" customHeight="1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996)</f>
        <v>996</v>
      </c>
      <c r="J370" s="37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1003)</f>
        <v>1003</v>
      </c>
      <c r="K370" s="38">
        <f t="shared" ca="1" si="190"/>
        <v>100.70281124497993</v>
      </c>
      <c r="L370" s="162"/>
      <c r="M370" s="162"/>
      <c r="N370" s="162"/>
      <c r="O370" s="162"/>
      <c r="P370" s="162"/>
    </row>
    <row r="371" spans="1:26" ht="20.25" customHeight="1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10239.59)</f>
        <v>10239.59</v>
      </c>
      <c r="K371" s="38">
        <f t="shared" si="190"/>
        <v>0</v>
      </c>
      <c r="L371" s="162"/>
      <c r="M371" s="162"/>
      <c r="N371" s="162"/>
      <c r="O371" s="162"/>
      <c r="P371" s="162"/>
    </row>
    <row r="372" spans="1:26" ht="20.25" customHeight="1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996)</f>
        <v>996</v>
      </c>
      <c r="J372" s="37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706)</f>
        <v>706</v>
      </c>
      <c r="K372" s="38">
        <f t="shared" ca="1" si="190"/>
        <v>70.883534136546189</v>
      </c>
      <c r="L372" s="162"/>
      <c r="M372" s="162"/>
      <c r="N372" s="162"/>
      <c r="O372" s="162"/>
      <c r="P372" s="162"/>
    </row>
    <row r="373" spans="1:26" ht="20.25" customHeight="1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7012.25)</f>
        <v>7012.25</v>
      </c>
      <c r="K373" s="38">
        <f t="shared" si="190"/>
        <v>0</v>
      </c>
      <c r="L373" s="162"/>
      <c r="M373" s="162"/>
      <c r="N373" s="162"/>
      <c r="O373" s="162"/>
      <c r="P373" s="162"/>
    </row>
    <row r="374" spans="1:26" ht="20.25" customHeight="1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3354)</f>
        <v>3354</v>
      </c>
      <c r="J374" s="462">
        <f ca="1">J381</f>
        <v>2967</v>
      </c>
      <c r="K374" s="463">
        <f t="shared" ca="1" si="190"/>
        <v>88.461538461538467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20.25" customHeight="1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20.25" customHeight="1">
      <c r="A376" s="169"/>
      <c r="B376" s="170"/>
      <c r="C376" s="163" t="s">
        <v>16</v>
      </c>
      <c r="D376" s="171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20.25" customHeight="1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1384)</f>
        <v>1384</v>
      </c>
      <c r="K377" s="38">
        <f t="shared" ref="K377:K382" si="191">IF(I377&gt;0,J377*100/I377,0)</f>
        <v>0</v>
      </c>
      <c r="L377" s="162"/>
      <c r="M377" s="162"/>
      <c r="N377" s="162"/>
      <c r="O377" s="162"/>
      <c r="P377" s="162"/>
    </row>
    <row r="378" spans="1:26" ht="20.25" customHeight="1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11211)</f>
        <v>11211</v>
      </c>
      <c r="J378" s="37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12027.48)</f>
        <v>12027.48</v>
      </c>
      <c r="K378" s="38">
        <f t="shared" ca="1" si="191"/>
        <v>107.28284720363928</v>
      </c>
      <c r="L378" s="162"/>
      <c r="M378" s="162"/>
      <c r="N378" s="162"/>
      <c r="O378" s="162"/>
      <c r="P378" s="162"/>
    </row>
    <row r="379" spans="1:26" ht="20.25" customHeight="1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3354)</f>
        <v>3354</v>
      </c>
      <c r="J379" s="37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3574)</f>
        <v>3574</v>
      </c>
      <c r="K379" s="38">
        <f t="shared" ca="1" si="191"/>
        <v>106.55933214072749</v>
      </c>
      <c r="L379" s="162"/>
      <c r="M379" s="162"/>
      <c r="N379" s="162"/>
      <c r="O379" s="162"/>
      <c r="P379" s="162"/>
    </row>
    <row r="380" spans="1:26" ht="20.25" customHeight="1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42152.99)</f>
        <v>42152.99</v>
      </c>
      <c r="K380" s="38">
        <f t="shared" si="191"/>
        <v>0</v>
      </c>
      <c r="L380" s="162"/>
      <c r="M380" s="162"/>
      <c r="N380" s="162"/>
      <c r="O380" s="162"/>
      <c r="P380" s="162"/>
    </row>
    <row r="381" spans="1:26" ht="20.25" customHeight="1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3354)</f>
        <v>3354</v>
      </c>
      <c r="J381" s="37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2967)</f>
        <v>2967</v>
      </c>
      <c r="K381" s="38">
        <f t="shared" ca="1" si="191"/>
        <v>88.461538461538467</v>
      </c>
      <c r="L381" s="162"/>
      <c r="M381" s="162"/>
      <c r="N381" s="162"/>
      <c r="O381" s="162"/>
      <c r="P381" s="162"/>
    </row>
    <row r="382" spans="1:26" ht="20.25" customHeight="1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36394.93)</f>
        <v>36394.93</v>
      </c>
      <c r="K382" s="38">
        <f t="shared" si="191"/>
        <v>0</v>
      </c>
      <c r="L382" s="162"/>
      <c r="M382" s="162"/>
      <c r="N382" s="162"/>
      <c r="O382" s="162"/>
      <c r="P382" s="162"/>
    </row>
    <row r="383" spans="1:26" ht="20.25" customHeight="1">
      <c r="A383" s="469"/>
      <c r="B383" s="470"/>
      <c r="C383" s="277"/>
      <c r="D383" s="471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20.25" customHeight="1">
      <c r="A384" s="169"/>
      <c r="B384" s="170"/>
      <c r="C384" s="33" t="s">
        <v>16</v>
      </c>
      <c r="D384" s="171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20.25" customHeight="1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365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156)</f>
        <v>156</v>
      </c>
      <c r="K385" s="475">
        <f ca="1">IF(I385&gt;0,J385*100/I385,0)</f>
        <v>46.987951807228917</v>
      </c>
      <c r="L385" s="366"/>
      <c r="M385" s="366"/>
      <c r="N385" s="366"/>
      <c r="O385" s="366"/>
      <c r="P385" s="366"/>
    </row>
    <row r="386" spans="1:26" ht="20.25" customHeight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20.25" customHeight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20.25" customHeight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ca="1" si="192">I400</f>
        <v>0</v>
      </c>
      <c r="J388" s="495">
        <f t="shared" ca="1" si="192"/>
        <v>0</v>
      </c>
      <c r="K388" s="496">
        <f ca="1">IF(I388&gt;0,J388*100/I388,0)</f>
        <v>0</v>
      </c>
      <c r="L388" s="497"/>
      <c r="M388" s="497"/>
      <c r="N388" s="497"/>
      <c r="O388" s="497"/>
      <c r="P388" s="497"/>
    </row>
    <row r="389" spans="1:26" ht="20.25" customHeight="1">
      <c r="A389" s="146"/>
      <c r="B389" s="147"/>
      <c r="C389" s="148" t="s">
        <v>16</v>
      </c>
      <c r="D389" s="149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93">L390+L391</f>
        <v>26000000</v>
      </c>
      <c r="M389" s="154">
        <f t="shared" ca="1" si="193"/>
        <v>26000000</v>
      </c>
      <c r="N389" s="154">
        <f t="shared" ca="1" si="193"/>
        <v>0</v>
      </c>
      <c r="O389" s="154">
        <f t="shared" ref="O389:O397" ca="1" si="194">IF(L389&gt;0,N389*100/L389,0)</f>
        <v>0</v>
      </c>
      <c r="P389" s="154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69"/>
      <c r="B398" s="170"/>
      <c r="C398" s="163" t="s">
        <v>16</v>
      </c>
      <c r="D398" s="171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20.25" customHeight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1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1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ca="1" si="201">I412</f>
        <v>15</v>
      </c>
      <c r="J401" s="495">
        <f t="shared" ca="1" si="201"/>
        <v>13</v>
      </c>
      <c r="K401" s="496">
        <f t="shared" ca="1" si="200"/>
        <v>86.666666666666671</v>
      </c>
      <c r="L401" s="497"/>
      <c r="M401" s="497"/>
      <c r="N401" s="497"/>
      <c r="O401" s="497"/>
      <c r="P401" s="497"/>
    </row>
    <row r="402" spans="1:26" ht="20.25" customHeight="1">
      <c r="A402" s="146"/>
      <c r="B402" s="147"/>
      <c r="C402" s="148" t="s">
        <v>16</v>
      </c>
      <c r="D402" s="149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202">L403+L404</f>
        <v>34000000</v>
      </c>
      <c r="M402" s="154">
        <f t="shared" ca="1" si="202"/>
        <v>34000000</v>
      </c>
      <c r="N402" s="154">
        <f t="shared" ca="1" si="202"/>
        <v>27368304</v>
      </c>
      <c r="O402" s="154">
        <f t="shared" ref="O402:O410" ca="1" si="203">IF(L402&gt;0,N402*100/L402,0)</f>
        <v>80.495011764705879</v>
      </c>
      <c r="P402" s="154">
        <f t="shared" ref="P402:P410" ca="1" si="204">IF(M402&gt;0,N402*100/M402,0)</f>
        <v>80.495011764705879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27368304</v>
      </c>
      <c r="O404" s="45">
        <f t="shared" ca="1" si="203"/>
        <v>80.495011764705879</v>
      </c>
      <c r="P404" s="45">
        <f t="shared" ca="1" si="204"/>
        <v>80.495011764705879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27368304</v>
      </c>
      <c r="O408" s="38">
        <f t="shared" ca="1" si="203"/>
        <v>80.495011764705879</v>
      </c>
      <c r="P408" s="38">
        <f t="shared" ca="1" si="204"/>
        <v>80.495011764705879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27368304)</f>
        <v>27368304</v>
      </c>
      <c r="O410" s="45">
        <f t="shared" ca="1" si="203"/>
        <v>80.495011764705879</v>
      </c>
      <c r="P410" s="45">
        <f t="shared" ca="1" si="204"/>
        <v>80.495011764705879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69"/>
      <c r="B411" s="170"/>
      <c r="C411" s="163" t="s">
        <v>16</v>
      </c>
      <c r="D411" s="502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20.25" customHeight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1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13)</f>
        <v>13</v>
      </c>
      <c r="K412" s="38">
        <f t="shared" ref="K412:K413" ca="1" si="209">IF(I412&gt;0,J412*100/I412,0)</f>
        <v>86.666666666666671</v>
      </c>
      <c r="L412" s="162"/>
      <c r="M412" s="162"/>
      <c r="N412" s="162"/>
      <c r="O412" s="162"/>
      <c r="P412" s="162"/>
    </row>
    <row r="413" spans="1:26" ht="20.25" customHeigh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795800)</f>
        <v>795800</v>
      </c>
      <c r="J413" s="512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660431)</f>
        <v>660431</v>
      </c>
      <c r="K413" s="513">
        <f t="shared" ca="1" si="209"/>
        <v>82.989570243779838</v>
      </c>
      <c r="L413" s="514"/>
      <c r="M413" s="514"/>
      <c r="N413" s="514"/>
      <c r="O413" s="514"/>
      <c r="P413" s="514"/>
    </row>
    <row r="414" spans="1:26" ht="20.25" customHeight="1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210">L419+L444+L467+L502+L523+L544+L629+L655+L685+L737+L754+L770+L786+L805</f>
        <v>16089310</v>
      </c>
      <c r="M414" s="521">
        <f t="shared" ca="1" si="210"/>
        <v>16483395</v>
      </c>
      <c r="N414" s="521">
        <f t="shared" ca="1" si="210"/>
        <v>12635562.9</v>
      </c>
      <c r="O414" s="521">
        <f ca="1">IF(L414&gt;0,N414*100/L414,0)</f>
        <v>78.533901702434719</v>
      </c>
      <c r="P414" s="521">
        <f ca="1">IF(M414&gt;0,N414*100/M414,0)</f>
        <v>76.656313217028412</v>
      </c>
    </row>
    <row r="415" spans="1:26" ht="20.25" customHeight="1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20.25" customHeight="1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20.25" customHeight="1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7" ca="1" si="211">I433</f>
        <v>250</v>
      </c>
      <c r="J417" s="536">
        <f t="shared" ca="1" si="211"/>
        <v>250</v>
      </c>
      <c r="K417" s="537">
        <f t="shared" ref="K417:K418" ca="1" si="212">IF(I417&gt;0,J417*100/I417,0)</f>
        <v>100</v>
      </c>
      <c r="L417" s="538"/>
      <c r="M417" s="538"/>
      <c r="N417" s="538"/>
      <c r="O417" s="538"/>
      <c r="P417" s="538"/>
    </row>
    <row r="418" spans="1:26" ht="20.25" customHeight="1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ref="I418:J418" ca="1" si="213">I434</f>
        <v>15</v>
      </c>
      <c r="J418" s="536">
        <f t="shared" ca="1" si="213"/>
        <v>14</v>
      </c>
      <c r="K418" s="537">
        <f t="shared" ca="1" si="212"/>
        <v>93.333333333333329</v>
      </c>
      <c r="L418" s="538"/>
      <c r="M418" s="538"/>
      <c r="N418" s="538"/>
      <c r="O418" s="538"/>
      <c r="P418" s="538"/>
    </row>
    <row r="419" spans="1:26" ht="20.25" customHeight="1">
      <c r="A419" s="146"/>
      <c r="B419" s="147"/>
      <c r="C419" s="147" t="s">
        <v>16</v>
      </c>
      <c r="D419" s="780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214">L420+L421</f>
        <v>1097120</v>
      </c>
      <c r="M419" s="154">
        <f t="shared" ca="1" si="214"/>
        <v>1091510</v>
      </c>
      <c r="N419" s="154">
        <f t="shared" ca="1" si="214"/>
        <v>951690.53</v>
      </c>
      <c r="O419" s="154">
        <f t="shared" ref="O419:O424" ca="1" si="215">IF(L419&gt;0,N419*100/L419,0)</f>
        <v>86.744433607991837</v>
      </c>
      <c r="P419" s="154">
        <f t="shared" ref="P419:P424" ca="1" si="216">IF(M419&gt;0,N419*100/M419,0)</f>
        <v>87.190271275572371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ca="1" si="218"/>
        <v>1091510</v>
      </c>
      <c r="N421" s="45">
        <f t="shared" ca="1" si="218"/>
        <v>951690.53</v>
      </c>
      <c r="O421" s="45">
        <f t="shared" ca="1" si="215"/>
        <v>86.744433607991837</v>
      </c>
      <c r="P421" s="45">
        <f t="shared" ca="1" si="216"/>
        <v>87.190271275572371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219">L423+L424</f>
        <v>1097120</v>
      </c>
      <c r="M422" s="38">
        <f t="shared" ca="1" si="219"/>
        <v>1091510</v>
      </c>
      <c r="N422" s="38">
        <f t="shared" ca="1" si="219"/>
        <v>951690.53</v>
      </c>
      <c r="O422" s="38">
        <f t="shared" ca="1" si="215"/>
        <v>86.744433607991837</v>
      </c>
      <c r="P422" s="38">
        <f t="shared" ca="1" si="216"/>
        <v>87.190271275572371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45">
        <f ca="1">IFERROR(__xludf.DUMMYFUNCTION("IMPORTRANGE(""https://docs.google.com/spreadsheets/d/1kC41EOXpGBFOW658Fs3oD8beYlym0-zO54WY-2Qnp9I/edit?usp=share_link"",""กระบี่!M424"")
+IMPORTRANGE(""https://docs.google.com/spreadsheets/d/1FbzMZY_f3MDiEuK7RpCQKrilJ_kpX0Wm7QBZ1L7EjIU/edit?usp=share_link"&amp;""",""ชุมพร!M424"")+IMPORTRANGE(""https://docs.google.com/spreadsheets/d/1v5sN-00LrXuhBxw4dkh2GrG_z4l5oAqOdJRBCsUyMaM/edit?usp=share_link"",""ตรัง!M424"")+IMPORTRANGE(""https://docs.google.com/spreadsheets/d/1T5rRTzFc79aSIvqnzkZNvwPstq829QYz_xALlO1Z0s8/edi"&amp;"t?usp=share_link"",""นครศรีธรรมราช!M424"")+IMPORTRANGE(""https://docs.google.com/spreadsheets/d/1BeghqumK0IvCmRd2QOy6_afsZq7ZtAGrSnVJy2u7WmY/edit?usp=share_link"",""นราธิวาส!M424"")+IMPORTRANGE(""https://docs.google.com/spreadsheets/d/1IwnW3-jjRf74MCLW-6P"&amp;"iFwMUffRQXZwZA7YM609NmRc/edit?usp=share_link"",""ปัตตานี!M424"")+IMPORTRANGE(""https://docs.google.com/spreadsheets/d/1vl4QWbWdFruual5o_wdo6ZSqXZ_it806oja4CctTLKs/edit?usp=share_link"",""พังงา!M424"")+IMPORTRANGE(""https://docs.google.com/spreadsheets/d/1"&amp;"b6QssHQp2FoAPSMKHOy273KNzAomaIKhtdlvuZ_zDNE/edit?usp=share_link"",""พัทลุง!M424"")+IMPORTRANGE(""https://docs.google.com/spreadsheets/d/1o7UZe4_OqlqtLDHrj01Z2YFRSZDf1DMy1n3XViHaxRc/edit?usp=share_link"",""ภูเก็ต!M424"")+IMPORTRANGE(""https://docs.google.c"&amp;"om/spreadsheets/d/1ctPm1vUzcUCPuOj9-eoHUD85PqINFqUB0TjdSWmR5-c/edit?usp=share_link"",""ยะลา!M424"")+IMPORTRANGE(""https://docs.google.com/spreadsheets/d/1YiDIE7Klmt8osgdapRqYWNr7iPGFSsiJqq46S7PYRE0/edit?usp=share_link"",""ระนอง!M424"")+IMPORTRANGE(""https"&amp;"://docs.google.com/spreadsheets/d/16o_4B-V7AWw_6E93bSpXj_XxVv1oVQctk-B6z1dNEWU/edit?usp=share_link"",""สงขลา!M424"")+IMPORTRANGE(""https://docs.google.com/spreadsheets/d/16cywr71Fj4fA5OGRHsZh30ZG2gwJhMAQv69oVBzYHv0/edit?usp=share_link"",""สตูล!M424"")+IMP"&amp;"ORTRANGE(""https://docs.google.com/spreadsheets/d/1vO9Sws6kMtrVtyvrAJptINXjK8TFBoX9xLYOVK_C8bQ/edit?usp=share_link"",""สุราษฎร์ธานี!M424"")"),1091510)</f>
        <v>1091510</v>
      </c>
      <c r="N424" s="45">
        <f ca="1">N425+N426+N427+N428</f>
        <v>951690.53</v>
      </c>
      <c r="O424" s="45">
        <f t="shared" ca="1" si="215"/>
        <v>86.744433607991837</v>
      </c>
      <c r="P424" s="45">
        <f t="shared" ca="1" si="216"/>
        <v>87.190271275572371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560375)</f>
        <v>560375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20.25" customHeight="1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20.25" customHeight="1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20.25" customHeight="1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391315.53)</f>
        <v>391315.53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45">
        <v>0</v>
      </c>
      <c r="N431" s="45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394"/>
      <c r="B432" s="395"/>
      <c r="C432" s="147" t="s">
        <v>16</v>
      </c>
      <c r="D432" s="544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250</v>
      </c>
      <c r="J433" s="190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250)</f>
        <v>250</v>
      </c>
      <c r="K433" s="191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224">I438+I440</f>
        <v>15</v>
      </c>
      <c r="J434" s="190">
        <f t="shared" ca="1" si="224"/>
        <v>14</v>
      </c>
      <c r="K434" s="191">
        <f t="shared" ca="1" si="223"/>
        <v>93.333333333333329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49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250)</f>
        <v>250</v>
      </c>
      <c r="K435" s="3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49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3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1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49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220)</f>
        <v>220</v>
      </c>
      <c r="K439" s="3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1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13)</f>
        <v>13</v>
      </c>
      <c r="K440" s="38">
        <f t="shared" ca="1" si="225"/>
        <v>92.857142857142861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37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226">I460</f>
        <v>255</v>
      </c>
      <c r="J442" s="555">
        <f t="shared" ca="1" si="226"/>
        <v>255</v>
      </c>
      <c r="K442" s="556">
        <f t="shared" ca="1" si="225"/>
        <v>100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20.25" customHeight="1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227">I462</f>
        <v>820</v>
      </c>
      <c r="J443" s="536">
        <f t="shared" ca="1" si="227"/>
        <v>820</v>
      </c>
      <c r="K443" s="537">
        <f t="shared" ca="1" si="225"/>
        <v>100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20.25" customHeight="1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228">L445+L446</f>
        <v>2091160</v>
      </c>
      <c r="M444" s="191">
        <f t="shared" ca="1" si="228"/>
        <v>2091160</v>
      </c>
      <c r="N444" s="191">
        <f t="shared" ca="1" si="228"/>
        <v>1894613.3099999991</v>
      </c>
      <c r="O444" s="191">
        <f t="shared" ref="O444:O449" ca="1" si="229">IF(L444&gt;0,N444*100/L444,0)</f>
        <v>90.601068784789263</v>
      </c>
      <c r="P444" s="191">
        <f t="shared" ref="P444:P449" ca="1" si="230">IF(M444&gt;0,N444*100/M444,0)</f>
        <v>90.601068784789263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20.25" hidden="1" customHeight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20.25" hidden="1" customHeight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ca="1" si="232"/>
        <v>2091160</v>
      </c>
      <c r="N446" s="45">
        <f t="shared" ca="1" si="232"/>
        <v>1894613.3099999991</v>
      </c>
      <c r="O446" s="45">
        <f t="shared" ca="1" si="229"/>
        <v>90.601068784789263</v>
      </c>
      <c r="P446" s="45">
        <f t="shared" ca="1" si="230"/>
        <v>90.601068784789263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20.25" customHeight="1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33">L448+L449</f>
        <v>2091160</v>
      </c>
      <c r="M447" s="38">
        <f t="shared" ca="1" si="233"/>
        <v>2091160</v>
      </c>
      <c r="N447" s="38">
        <f t="shared" ca="1" si="233"/>
        <v>1894613.3099999991</v>
      </c>
      <c r="O447" s="38">
        <f t="shared" ca="1" si="229"/>
        <v>90.601068784789263</v>
      </c>
      <c r="P447" s="38">
        <f t="shared" ca="1" si="230"/>
        <v>90.601068784789263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20.25" hidden="1" customHeight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229"/>
        <v>0</v>
      </c>
      <c r="P448" s="45">
        <f t="shared" si="230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20.25" hidden="1" customHeight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45">
        <f ca="1">IFERROR(__xludf.DUMMYFUNCTION("IMPORTRANGE(""https://docs.google.com/spreadsheets/d/1kC41EOXpGBFOW658Fs3oD8beYlym0-zO54WY-2Qnp9I/edit?usp=share_link"",""กระบี่!M449"")
+IMPORTRANGE(""https://docs.google.com/spreadsheets/d/1FbzMZY_f3MDiEuK7RpCQKrilJ_kpX0Wm7QBZ1L7EjIU/edit?usp=share_link"&amp;""",""ชุมพร!M449"")+IMPORTRANGE(""https://docs.google.com/spreadsheets/d/1v5sN-00LrXuhBxw4dkh2GrG_z4l5oAqOdJRBCsUyMaM/edit?usp=share_link"",""ตรัง!M449"")+IMPORTRANGE(""https://docs.google.com/spreadsheets/d/1T5rRTzFc79aSIvqnzkZNvwPstq829QYz_xALlO1Z0s8/edi"&amp;"t?usp=share_link"",""นครศรีธรรมราช!M449"")+IMPORTRANGE(""https://docs.google.com/spreadsheets/d/1BeghqumK0IvCmRd2QOy6_afsZq7ZtAGrSnVJy2u7WmY/edit?usp=share_link"",""นราธิวาส!M449"")+IMPORTRANGE(""https://docs.google.com/spreadsheets/d/1IwnW3-jjRf74MCLW-6P"&amp;"iFwMUffRQXZwZA7YM609NmRc/edit?usp=share_link"",""ปัตตานี!M449"")+IMPORTRANGE(""https://docs.google.com/spreadsheets/d/1vl4QWbWdFruual5o_wdo6ZSqXZ_it806oja4CctTLKs/edit?usp=share_link"",""พังงา!M449"")+IMPORTRANGE(""https://docs.google.com/spreadsheets/d/1"&amp;"b6QssHQp2FoAPSMKHOy273KNzAomaIKhtdlvuZ_zDNE/edit?usp=share_link"",""พัทลุง!M449"")+IMPORTRANGE(""https://docs.google.com/spreadsheets/d/1o7UZe4_OqlqtLDHrj01Z2YFRSZDf1DMy1n3XViHaxRc/edit?usp=share_link"",""ภูเก็ต!M449"")+IMPORTRANGE(""https://docs.google.c"&amp;"om/spreadsheets/d/1ctPm1vUzcUCPuOj9-eoHUD85PqINFqUB0TjdSWmR5-c/edit?usp=share_link"",""ยะลา!M449"")+IMPORTRANGE(""https://docs.google.com/spreadsheets/d/1YiDIE7Klmt8osgdapRqYWNr7iPGFSsiJqq46S7PYRE0/edit?usp=share_link"",""ระนอง!M449"")+IMPORTRANGE(""https"&amp;"://docs.google.com/spreadsheets/d/16o_4B-V7AWw_6E93bSpXj_XxVv1oVQctk-B6z1dNEWU/edit?usp=share_link"",""สงขลา!M449"")+IMPORTRANGE(""https://docs.google.com/spreadsheets/d/16cywr71Fj4fA5OGRHsZh30ZG2gwJhMAQv69oVBzYHv0/edit?usp=share_link"",""สตูล!M449"")+IMP"&amp;"ORTRANGE(""https://docs.google.com/spreadsheets/d/1vO9Sws6kMtrVtyvrAJptINXjK8TFBoX9xLYOVK_C8bQ/edit?usp=share_link"",""สุราษฎร์ธานี!M449"")"),2091160)</f>
        <v>2091160</v>
      </c>
      <c r="N449" s="45">
        <f ca="1">N450+N451+N452+N453</f>
        <v>1894613.3099999991</v>
      </c>
      <c r="O449" s="45">
        <f t="shared" ca="1" si="229"/>
        <v>90.601068784789263</v>
      </c>
      <c r="P449" s="45">
        <f t="shared" ca="1" si="230"/>
        <v>90.601068784789263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20.25" customHeight="1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341953.6)</f>
        <v>341953.6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20.25" customHeight="1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857295)</f>
        <v>857295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20.25" customHeight="1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527798.23)</f>
        <v>527798.23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20.25" customHeight="1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167566.479999999)</f>
        <v>167566.47999999899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20.25" customHeight="1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20.25" hidden="1" customHeight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35"/>
        <v>0</v>
      </c>
      <c r="P455" s="45">
        <f t="shared" si="236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20.25" hidden="1" customHeight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45">
        <v>0</v>
      </c>
      <c r="N456" s="45">
        <v>0</v>
      </c>
      <c r="O456" s="45">
        <f t="shared" ca="1" si="235"/>
        <v>0</v>
      </c>
      <c r="P456" s="45">
        <f t="shared" si="236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20.25" customHeight="1">
      <c r="A457" s="571"/>
      <c r="B457" s="572"/>
      <c r="C457" s="541" t="s">
        <v>16</v>
      </c>
      <c r="D457" s="573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20.25" hidden="1" customHeight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20.25" hidden="1" customHeight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20.25" customHeight="1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1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255)</f>
        <v>255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20.25" customHeight="1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20.25" customHeight="1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1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820)</f>
        <v>820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20.25" customHeight="1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1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520)</f>
        <v>520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20.25" customHeight="1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1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195)</f>
        <v>195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20.25" customHeight="1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55">
        <f ca="1">J485+J489+J492</f>
        <v>500</v>
      </c>
      <c r="K465" s="556">
        <f t="shared" ref="K465:K466" ca="1" si="237">IF(I465&gt;0,J465*100/I465,0)</f>
        <v>101.21457489878543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20.25" customHeight="1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36">
        <f ca="1">J495+J498</f>
        <v>3080</v>
      </c>
      <c r="K466" s="537">
        <f t="shared" ca="1" si="237"/>
        <v>64.166666666666671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20.25" customHeight="1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38">L468+L469</f>
        <v>4311197</v>
      </c>
      <c r="M467" s="191">
        <f t="shared" ca="1" si="238"/>
        <v>4311197</v>
      </c>
      <c r="N467" s="191">
        <f t="shared" ca="1" si="238"/>
        <v>3554559.03</v>
      </c>
      <c r="O467" s="191">
        <f t="shared" ref="O467:O472" ca="1" si="239">IF(L467&gt;0,N467*100/L467,0)</f>
        <v>82.449468906199371</v>
      </c>
      <c r="P467" s="191">
        <f t="shared" ref="P467:P472" ca="1" si="240">IF(M467&gt;0,N467*100/M467,0)</f>
        <v>82.449468906199371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20.25" hidden="1" customHeight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20.25" hidden="1" customHeight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ca="1" si="242"/>
        <v>4311197</v>
      </c>
      <c r="N469" s="45">
        <f t="shared" ca="1" si="242"/>
        <v>3554559.03</v>
      </c>
      <c r="O469" s="45">
        <f t="shared" ca="1" si="239"/>
        <v>82.449468906199371</v>
      </c>
      <c r="P469" s="45">
        <f t="shared" ca="1" si="240"/>
        <v>82.449468906199371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20.25" customHeight="1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43">L471+L472</f>
        <v>4311197</v>
      </c>
      <c r="M470" s="38">
        <f t="shared" ca="1" si="243"/>
        <v>4311197</v>
      </c>
      <c r="N470" s="38">
        <f t="shared" ca="1" si="243"/>
        <v>3554559.03</v>
      </c>
      <c r="O470" s="38">
        <f t="shared" ca="1" si="239"/>
        <v>82.449468906199371</v>
      </c>
      <c r="P470" s="38">
        <f t="shared" ca="1" si="240"/>
        <v>82.449468906199371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20.25" hidden="1" customHeight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39"/>
        <v>0</v>
      </c>
      <c r="P471" s="45">
        <f t="shared" si="240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20.25" hidden="1" customHeight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45">
        <f ca="1">IFERROR(__xludf.DUMMYFUNCTION("IMPORTRANGE(""https://docs.google.com/spreadsheets/d/1kC41EOXpGBFOW658Fs3oD8beYlym0-zO54WY-2Qnp9I/edit?usp=share_link"",""กระบี่!M472"")
+IMPORTRANGE(""https://docs.google.com/spreadsheets/d/1FbzMZY_f3MDiEuK7RpCQKrilJ_kpX0Wm7QBZ1L7EjIU/edit?usp=share_link"&amp;""",""ชุมพร!M472"")+IMPORTRANGE(""https://docs.google.com/spreadsheets/d/1v5sN-00LrXuhBxw4dkh2GrG_z4l5oAqOdJRBCsUyMaM/edit?usp=share_link"",""ตรัง!M472"")+IMPORTRANGE(""https://docs.google.com/spreadsheets/d/1T5rRTzFc79aSIvqnzkZNvwPstq829QYz_xALlO1Z0s8/edi"&amp;"t?usp=share_link"",""นครศรีธรรมราช!M472"")+IMPORTRANGE(""https://docs.google.com/spreadsheets/d/1BeghqumK0IvCmRd2QOy6_afsZq7ZtAGrSnVJy2u7WmY/edit?usp=share_link"",""นราธิวาส!M472"")+IMPORTRANGE(""https://docs.google.com/spreadsheets/d/1IwnW3-jjRf74MCLW-6P"&amp;"iFwMUffRQXZwZA7YM609NmRc/edit?usp=share_link"",""ปัตตานี!M472"")+IMPORTRANGE(""https://docs.google.com/spreadsheets/d/1vl4QWbWdFruual5o_wdo6ZSqXZ_it806oja4CctTLKs/edit?usp=share_link"",""พังงา!M472"")+IMPORTRANGE(""https://docs.google.com/spreadsheets/d/1"&amp;"b6QssHQp2FoAPSMKHOy273KNzAomaIKhtdlvuZ_zDNE/edit?usp=share_link"",""พัทลุง!M472"")+IMPORTRANGE(""https://docs.google.com/spreadsheets/d/1o7UZe4_OqlqtLDHrj01Z2YFRSZDf1DMy1n3XViHaxRc/edit?usp=share_link"",""ภูเก็ต!M472"")+IMPORTRANGE(""https://docs.google.c"&amp;"om/spreadsheets/d/1ctPm1vUzcUCPuOj9-eoHUD85PqINFqUB0TjdSWmR5-c/edit?usp=share_link"",""ยะลา!M472"")+IMPORTRANGE(""https://docs.google.com/spreadsheets/d/1YiDIE7Klmt8osgdapRqYWNr7iPGFSsiJqq46S7PYRE0/edit?usp=share_link"",""ระนอง!M472"")+IMPORTRANGE(""https"&amp;"://docs.google.com/spreadsheets/d/16o_4B-V7AWw_6E93bSpXj_XxVv1oVQctk-B6z1dNEWU/edit?usp=share_link"",""สงขลา!M472"")+IMPORTRANGE(""https://docs.google.com/spreadsheets/d/16cywr71Fj4fA5OGRHsZh30ZG2gwJhMAQv69oVBzYHv0/edit?usp=share_link"",""สตูล!M472"")+IMP"&amp;"ORTRANGE(""https://docs.google.com/spreadsheets/d/1vO9Sws6kMtrVtyvrAJptINXjK8TFBoX9xLYOVK_C8bQ/edit?usp=share_link"",""สุราษฎร์ธานี!M472"")"),4311197)</f>
        <v>4311197</v>
      </c>
      <c r="N472" s="45">
        <f ca="1">N473+N474+N475+N476</f>
        <v>3554559.03</v>
      </c>
      <c r="O472" s="45">
        <f t="shared" ca="1" si="239"/>
        <v>82.449468906199371</v>
      </c>
      <c r="P472" s="45">
        <f t="shared" ca="1" si="240"/>
        <v>82.449468906199371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20.25" customHeight="1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683856.72)</f>
        <v>683856.72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20.25" customHeight="1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2461992)</f>
        <v>2461992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20.25" customHeight="1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91500)</f>
        <v>91500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20.25" customHeight="1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317210.31)</f>
        <v>317210.31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20.25" customHeight="1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20.25" hidden="1" customHeight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45"/>
        <v>0</v>
      </c>
      <c r="P478" s="45">
        <f t="shared" si="246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20.25" hidden="1" customHeight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45">
        <v>0</v>
      </c>
      <c r="N479" s="45">
        <v>0</v>
      </c>
      <c r="O479" s="45">
        <f t="shared" ca="1" si="245"/>
        <v>0</v>
      </c>
      <c r="P479" s="45">
        <f t="shared" si="246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20.25" customHeight="1">
      <c r="A480" s="571"/>
      <c r="B480" s="572"/>
      <c r="C480" s="541" t="s">
        <v>16</v>
      </c>
      <c r="D480" s="580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20.25" customHeight="1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20.25" customHeight="1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20.25" customHeight="1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1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4225)</f>
        <v>4225</v>
      </c>
      <c r="K483" s="38">
        <f ca="1">IF(I483&gt;0,J483*100/I483,0)</f>
        <v>97.800925925925924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20.25" customHeight="1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347)</f>
        <v>347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20.25" customHeight="1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1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437)</f>
        <v>437</v>
      </c>
      <c r="K485" s="38">
        <f ca="1">IF(I485&gt;0,J485*100/I485,0)</f>
        <v>101.1574074074074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20.25" customHeight="1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20.25" customHeight="1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1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469)</f>
        <v>469</v>
      </c>
      <c r="K487" s="38">
        <f ca="1">IF(I487&gt;0,J487*100/I487,0)</f>
        <v>97.708333333333329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20.25" customHeight="1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42)</f>
        <v>42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20.25" customHeight="1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1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49)</f>
        <v>49</v>
      </c>
      <c r="K489" s="38">
        <f ca="1">IF(I489&gt;0,J489*100/I489,0)</f>
        <v>102.08333333333333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20.25" customHeight="1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20.25" customHeight="1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10)</f>
        <v>10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20.25" customHeight="1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1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14)</f>
        <v>14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20.25" customHeight="1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20.25" customHeight="1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20.25" customHeight="1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1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2770)</f>
        <v>2770</v>
      </c>
      <c r="K495" s="38">
        <f ca="1">IF(I495&gt;0,J495*100/I495,0)</f>
        <v>64.120370370370367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20.25" customHeight="1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1010)</f>
        <v>1010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20.25" customHeight="1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20.25" customHeight="1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1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310)</f>
        <v>310</v>
      </c>
      <c r="K498" s="38">
        <f ca="1">IF(I498&gt;0,J498*100/I498,0)</f>
        <v>64.583333333333329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20.25" customHeight="1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110)</f>
        <v>110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20.25" hidden="1" customHeight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47">J516</f>
        <v>0</v>
      </c>
      <c r="K500" s="589">
        <f t="shared" ref="K500:K501" si="248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20.25" hidden="1" customHeight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47"/>
        <v>0</v>
      </c>
      <c r="K501" s="597">
        <f t="shared" si="248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20.25" hidden="1" customHeight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49">L503+L504</f>
        <v>0</v>
      </c>
      <c r="M502" s="601">
        <f t="shared" si="249"/>
        <v>0</v>
      </c>
      <c r="N502" s="601">
        <f t="shared" si="249"/>
        <v>0</v>
      </c>
      <c r="O502" s="601">
        <f t="shared" ref="O502:O507" si="250">IF(L502&gt;0,N502*100/L502,0)</f>
        <v>0</v>
      </c>
      <c r="P502" s="601">
        <f t="shared" ref="P502:P507" si="251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20.25" hidden="1" customHeight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20.25" hidden="1" customHeight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20.25" hidden="1" customHeight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20.25" hidden="1" customHeight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50"/>
        <v>0</v>
      </c>
      <c r="P506" s="45">
        <f t="shared" si="251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20.25" hidden="1" customHeight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20.25" hidden="1" customHeight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20.25" hidden="1" customHeight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20.25" hidden="1" customHeight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20.25" hidden="1" customHeight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20.25" hidden="1" customHeight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20.25" hidden="1" customHeight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56"/>
        <v>0</v>
      </c>
      <c r="P513" s="45">
        <f t="shared" si="257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20.25" hidden="1" customHeight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56"/>
        <v>0</v>
      </c>
      <c r="P514" s="45">
        <f t="shared" si="257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20.25" hidden="1" customHeight="1">
      <c r="A515" s="577"/>
      <c r="B515" s="578"/>
      <c r="C515" s="569" t="s">
        <v>16</v>
      </c>
      <c r="D515" s="604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20.25" hidden="1" customHeight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58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20.25" hidden="1" customHeight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58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20.25" hidden="1" customHeight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20.25" hidden="1" customHeight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20.25" customHeight="1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20.25" customHeight="1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20.25" customHeight="1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59">I537</f>
        <v>190</v>
      </c>
      <c r="J522" s="630">
        <f t="shared" ca="1" si="259"/>
        <v>190</v>
      </c>
      <c r="K522" s="631">
        <f ca="1">IF(I522&gt;0,J522*100/I522,0)</f>
        <v>100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20.25" customHeight="1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60">L524+L525</f>
        <v>1674740</v>
      </c>
      <c r="M523" s="191">
        <f t="shared" ca="1" si="260"/>
        <v>1674740</v>
      </c>
      <c r="N523" s="191">
        <f t="shared" ca="1" si="260"/>
        <v>969720</v>
      </c>
      <c r="O523" s="191">
        <f t="shared" ref="O523:O528" ca="1" si="261">IF(L523&gt;0,N523*100/L523,0)</f>
        <v>57.902719228059283</v>
      </c>
      <c r="P523" s="191">
        <f t="shared" ref="P523:P528" ca="1" si="262">IF(M523&gt;0,N523*100/M523,0)</f>
        <v>57.902719228059283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20.25" hidden="1" customHeight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20.25" hidden="1" customHeight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ca="1" si="264"/>
        <v>1674740</v>
      </c>
      <c r="N525" s="45">
        <f t="shared" ca="1" si="264"/>
        <v>969720</v>
      </c>
      <c r="O525" s="45">
        <f t="shared" ca="1" si="261"/>
        <v>57.902719228059283</v>
      </c>
      <c r="P525" s="45">
        <f t="shared" ca="1" si="262"/>
        <v>57.902719228059283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20.25" customHeight="1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65">L527+L528</f>
        <v>1674740</v>
      </c>
      <c r="M526" s="38">
        <f t="shared" ca="1" si="265"/>
        <v>1674740</v>
      </c>
      <c r="N526" s="38">
        <f t="shared" ca="1" si="265"/>
        <v>969720</v>
      </c>
      <c r="O526" s="38">
        <f t="shared" ca="1" si="261"/>
        <v>57.902719228059283</v>
      </c>
      <c r="P526" s="38">
        <f t="shared" ca="1" si="262"/>
        <v>57.902719228059283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20.25" hidden="1" customHeight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61"/>
        <v>0</v>
      </c>
      <c r="P527" s="45">
        <f t="shared" si="262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20.25" hidden="1" customHeight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45">
        <f ca="1">IFERROR(__xludf.DUMMYFUNCTION("IMPORTRANGE(""https://docs.google.com/spreadsheets/d/1kC41EOXpGBFOW658Fs3oD8beYlym0-zO54WY-2Qnp9I/edit?usp=share_link"",""กระบี่!M528"")
+IMPORTRANGE(""https://docs.google.com/spreadsheets/d/1FbzMZY_f3MDiEuK7RpCQKrilJ_kpX0Wm7QBZ1L7EjIU/edit?usp=share_link"&amp;""",""ชุมพร!M528"")+IMPORTRANGE(""https://docs.google.com/spreadsheets/d/1v5sN-00LrXuhBxw4dkh2GrG_z4l5oAqOdJRBCsUyMaM/edit?usp=share_link"",""ตรัง!M528"")+IMPORTRANGE(""https://docs.google.com/spreadsheets/d/1T5rRTzFc79aSIvqnzkZNvwPstq829QYz_xALlO1Z0s8/edi"&amp;"t?usp=share_link"",""นครศรีธรรมราช!M528"")+IMPORTRANGE(""https://docs.google.com/spreadsheets/d/1BeghqumK0IvCmRd2QOy6_afsZq7ZtAGrSnVJy2u7WmY/edit?usp=share_link"",""นราธิวาส!M528"")+IMPORTRANGE(""https://docs.google.com/spreadsheets/d/1IwnW3-jjRf74MCLW-6P"&amp;"iFwMUffRQXZwZA7YM609NmRc/edit?usp=share_link"",""ปัตตานี!M528"")+IMPORTRANGE(""https://docs.google.com/spreadsheets/d/1vl4QWbWdFruual5o_wdo6ZSqXZ_it806oja4CctTLKs/edit?usp=share_link"",""พังงา!M528"")+IMPORTRANGE(""https://docs.google.com/spreadsheets/d/1"&amp;"b6QssHQp2FoAPSMKHOy273KNzAomaIKhtdlvuZ_zDNE/edit?usp=share_link"",""พัทลุง!M528"")+IMPORTRANGE(""https://docs.google.com/spreadsheets/d/1o7UZe4_OqlqtLDHrj01Z2YFRSZDf1DMy1n3XViHaxRc/edit?usp=share_link"",""ภูเก็ต!M528"")+IMPORTRANGE(""https://docs.google.c"&amp;"om/spreadsheets/d/1ctPm1vUzcUCPuOj9-eoHUD85PqINFqUB0TjdSWmR5-c/edit?usp=share_link"",""ยะลา!M528"")+IMPORTRANGE(""https://docs.google.com/spreadsheets/d/1YiDIE7Klmt8osgdapRqYWNr7iPGFSsiJqq46S7PYRE0/edit?usp=share_link"",""ระนอง!M528"")+IMPORTRANGE(""https"&amp;"://docs.google.com/spreadsheets/d/16o_4B-V7AWw_6E93bSpXj_XxVv1oVQctk-B6z1dNEWU/edit?usp=share_link"",""สงขลา!M528"")+IMPORTRANGE(""https://docs.google.com/spreadsheets/d/16cywr71Fj4fA5OGRHsZh30ZG2gwJhMAQv69oVBzYHv0/edit?usp=share_link"",""สตูล!M528"")+IMP"&amp;"ORTRANGE(""https://docs.google.com/spreadsheets/d/1vO9Sws6kMtrVtyvrAJptINXjK8TFBoX9xLYOVK_C8bQ/edit?usp=share_link"",""สุราษฎร์ธานี!M528"")"),1674740)</f>
        <v>1674740</v>
      </c>
      <c r="N528" s="45">
        <f ca="1">N529+N530+N531+N532</f>
        <v>969720</v>
      </c>
      <c r="O528" s="45">
        <f t="shared" ca="1" si="261"/>
        <v>57.902719228059283</v>
      </c>
      <c r="P528" s="45">
        <f t="shared" ca="1" si="262"/>
        <v>57.902719228059283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20.25" customHeight="1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450980)</f>
        <v>450980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20.25" customHeight="1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400000)</f>
        <v>400000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20.25" customHeight="1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20.25" customHeight="1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118740)</f>
        <v>118740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20.25" customHeight="1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20.25" hidden="1" customHeight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67"/>
        <v>0</v>
      </c>
      <c r="P534" s="45">
        <f t="shared" si="268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20.25" hidden="1" customHeight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45">
        <v>0</v>
      </c>
      <c r="N535" s="45">
        <v>0</v>
      </c>
      <c r="O535" s="45">
        <f t="shared" ca="1" si="267"/>
        <v>0</v>
      </c>
      <c r="P535" s="45">
        <f t="shared" si="268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20.25" customHeight="1">
      <c r="A536" s="571"/>
      <c r="B536" s="572"/>
      <c r="C536" s="542" t="s">
        <v>16</v>
      </c>
      <c r="D536" s="633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20.25" customHeight="1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0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190)</f>
        <v>190</v>
      </c>
      <c r="K537" s="38">
        <f t="shared" ref="K537:K543" ca="1" si="269">IF(I537&gt;0,J537*100/I537,0)</f>
        <v>100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20.25" customHeight="1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1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8">
        <f t="shared" ca="1" si="269"/>
        <v>100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20.25" customHeight="1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1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160)</f>
        <v>160</v>
      </c>
      <c r="K539" s="38">
        <f t="shared" ca="1" si="269"/>
        <v>100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20.25" customHeight="1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1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160)</f>
        <v>160</v>
      </c>
      <c r="K540" s="38">
        <f t="shared" ca="1" si="269"/>
        <v>100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20.25" customHeight="1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1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8">
        <f t="shared" ca="1" si="269"/>
        <v>100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20.25" customHeight="1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1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80)</f>
        <v>80</v>
      </c>
      <c r="K542" s="38">
        <f t="shared" ca="1" si="269"/>
        <v>42.10526315789474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20.25" customHeight="1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70">I559</f>
        <v>380540</v>
      </c>
      <c r="J543" s="638">
        <f t="shared" ca="1" si="270"/>
        <v>362555.98000000004</v>
      </c>
      <c r="K543" s="639">
        <f t="shared" ca="1" si="269"/>
        <v>95.274078940453066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20.25" customHeight="1">
      <c r="A544" s="640"/>
      <c r="B544" s="641"/>
      <c r="C544" s="641" t="s">
        <v>16</v>
      </c>
      <c r="D544" s="784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71">L545+L546</f>
        <v>5238283</v>
      </c>
      <c r="M544" s="154">
        <f t="shared" ca="1" si="271"/>
        <v>5637978</v>
      </c>
      <c r="N544" s="154">
        <f t="shared" ca="1" si="271"/>
        <v>4589096.33</v>
      </c>
      <c r="O544" s="154">
        <f t="shared" ref="O544:O549" ca="1" si="272">IF(L544&gt;0,N544*100/L544,0)</f>
        <v>87.606880537000393</v>
      </c>
      <c r="P544" s="154">
        <f t="shared" ref="P544:P549" ca="1" si="273">IF(M544&gt;0,N544*100/M544,0)</f>
        <v>81.396137586915032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20.25" hidden="1" customHeight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20.25" hidden="1" customHeight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ca="1" si="276">M549+M556</f>
        <v>5637978</v>
      </c>
      <c r="N546" s="45">
        <f t="shared" ca="1" si="276"/>
        <v>4589096.33</v>
      </c>
      <c r="O546" s="45">
        <f t="shared" ca="1" si="272"/>
        <v>87.606880537000393</v>
      </c>
      <c r="P546" s="45">
        <f t="shared" ca="1" si="273"/>
        <v>81.396137586915032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20.25" customHeight="1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77">L548+L549</f>
        <v>5238283</v>
      </c>
      <c r="M547" s="38">
        <f t="shared" ca="1" si="277"/>
        <v>5637978</v>
      </c>
      <c r="N547" s="38">
        <f t="shared" ca="1" si="277"/>
        <v>4589096.33</v>
      </c>
      <c r="O547" s="38">
        <f t="shared" ca="1" si="272"/>
        <v>87.606880537000393</v>
      </c>
      <c r="P547" s="38">
        <f t="shared" ca="1" si="273"/>
        <v>81.396137586915032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20.25" hidden="1" customHeight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72"/>
        <v>0</v>
      </c>
      <c r="P548" s="45">
        <f t="shared" si="273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20.25" hidden="1" customHeight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45">
        <f ca="1">IFERROR(__xludf.DUMMYFUNCTION("IMPORTRANGE(""https://docs.google.com/spreadsheets/d/1kC41EOXpGBFOW658Fs3oD8beYlym0-zO54WY-2Qnp9I/edit?usp=share_link"",""กระบี่!M549"")
+IMPORTRANGE(""https://docs.google.com/spreadsheets/d/1FbzMZY_f3MDiEuK7RpCQKrilJ_kpX0Wm7QBZ1L7EjIU/edit?usp=share_link"&amp;""",""ชุมพร!M549"")+IMPORTRANGE(""https://docs.google.com/spreadsheets/d/1v5sN-00LrXuhBxw4dkh2GrG_z4l5oAqOdJRBCsUyMaM/edit?usp=share_link"",""ตรัง!M549"")+IMPORTRANGE(""https://docs.google.com/spreadsheets/d/1T5rRTzFc79aSIvqnzkZNvwPstq829QYz_xALlO1Z0s8/edi"&amp;"t?usp=share_link"",""นครศรีธรรมราช!M549"")+IMPORTRANGE(""https://docs.google.com/spreadsheets/d/1BeghqumK0IvCmRd2QOy6_afsZq7ZtAGrSnVJy2u7WmY/edit?usp=share_link"",""นราธิวาส!M549"")+IMPORTRANGE(""https://docs.google.com/spreadsheets/d/1IwnW3-jjRf74MCLW-6P"&amp;"iFwMUffRQXZwZA7YM609NmRc/edit?usp=share_link"",""ปัตตานี!M549"")+IMPORTRANGE(""https://docs.google.com/spreadsheets/d/1vl4QWbWdFruual5o_wdo6ZSqXZ_it806oja4CctTLKs/edit?usp=share_link"",""พังงา!M549"")+IMPORTRANGE(""https://docs.google.com/spreadsheets/d/1"&amp;"b6QssHQp2FoAPSMKHOy273KNzAomaIKhtdlvuZ_zDNE/edit?usp=share_link"",""พัทลุง!M549"")+IMPORTRANGE(""https://docs.google.com/spreadsheets/d/1o7UZe4_OqlqtLDHrj01Z2YFRSZDf1DMy1n3XViHaxRc/edit?usp=share_link"",""ภูเก็ต!M549"")+IMPORTRANGE(""https://docs.google.c"&amp;"om/spreadsheets/d/1ctPm1vUzcUCPuOj9-eoHUD85PqINFqUB0TjdSWmR5-c/edit?usp=share_link"",""ยะลา!M549"")+IMPORTRANGE(""https://docs.google.com/spreadsheets/d/1YiDIE7Klmt8osgdapRqYWNr7iPGFSsiJqq46S7PYRE0/edit?usp=share_link"",""ระนอง!M549"")+IMPORTRANGE(""https"&amp;"://docs.google.com/spreadsheets/d/16o_4B-V7AWw_6E93bSpXj_XxVv1oVQctk-B6z1dNEWU/edit?usp=share_link"",""สงขลา!M549"")+IMPORTRANGE(""https://docs.google.com/spreadsheets/d/16cywr71Fj4fA5OGRHsZh30ZG2gwJhMAQv69oVBzYHv0/edit?usp=share_link"",""สตูล!M549"")+IMP"&amp;"ORTRANGE(""https://docs.google.com/spreadsheets/d/1vO9Sws6kMtrVtyvrAJptINXjK8TFBoX9xLYOVK_C8bQ/edit?usp=share_link"",""สุราษฎร์ธานี!M549"")"),5637978)</f>
        <v>5637978</v>
      </c>
      <c r="N549" s="45">
        <f ca="1">N550+N551+N552+N553+N554</f>
        <v>4589096.33</v>
      </c>
      <c r="O549" s="45">
        <f t="shared" ca="1" si="272"/>
        <v>87.606880537000393</v>
      </c>
      <c r="P549" s="45">
        <f t="shared" ca="1" si="273"/>
        <v>81.396137586915032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20.25" customHeight="1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25642.5)</f>
        <v>25642.5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20.25" customHeight="1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54492)</f>
        <v>54492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20.25" customHeight="1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1156800.46)</f>
        <v>1156800.46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20.25" customHeight="1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2373518.37)</f>
        <v>2373518.37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20.25" customHeight="1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978643)</f>
        <v>978643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20.25" customHeight="1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20.25" hidden="1" customHeight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79"/>
        <v>0</v>
      </c>
      <c r="P556" s="45">
        <f t="shared" si="280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20.25" hidden="1" customHeight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45">
        <v>0</v>
      </c>
      <c r="N557" s="45">
        <v>0</v>
      </c>
      <c r="O557" s="45">
        <f t="shared" ca="1" si="279"/>
        <v>0</v>
      </c>
      <c r="P557" s="45">
        <f t="shared" si="280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20.25" customHeight="1">
      <c r="A558" s="571"/>
      <c r="B558" s="572"/>
      <c r="C558" s="541" t="s">
        <v>16</v>
      </c>
      <c r="D558" s="633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20.25" customHeight="1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81">I576</f>
        <v>380540</v>
      </c>
      <c r="J559" s="630">
        <f t="shared" ca="1" si="281"/>
        <v>362555.98000000004</v>
      </c>
      <c r="K559" s="631">
        <f t="shared" ref="K559:K561" ca="1" si="282">IF(I559&gt;0,J559*100/I559,0)</f>
        <v>95.274078940453066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20.25" customHeight="1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89">
        <f t="shared" ref="J560:J561" ca="1" si="283">J562+J564+J566</f>
        <v>379548.70949999994</v>
      </c>
      <c r="K560" s="391">
        <f t="shared" ca="1" si="282"/>
        <v>99.739504257108308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20.25" customHeight="1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89">
        <f t="shared" ca="1" si="283"/>
        <v>42639</v>
      </c>
      <c r="K561" s="391">
        <f t="shared" ca="1" si="282"/>
        <v>99.684387712161595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20.25" customHeight="1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336171.934)</f>
        <v>336171.93400000001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20.25" customHeight="1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37977)</f>
        <v>37977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20.25" customHeight="1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35466.9379999999)</f>
        <v>35466.9379999999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20.25" customHeight="1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3712)</f>
        <v>3712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20.25" customHeight="1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7909.8375)</f>
        <v>7909.8374999999996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20.25" customHeight="1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950)</f>
        <v>950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20.25" customHeight="1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0">
        <f t="shared" ref="J568:J569" ca="1" si="284">J570+J572+J574</f>
        <v>373951.77750000003</v>
      </c>
      <c r="K568" s="391">
        <f t="shared" ref="K568:K569" ca="1" si="285">IF(I568&gt;0,J568*100/I568,0)</f>
        <v>98.268717480422552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20.25" customHeight="1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0">
        <f t="shared" ca="1" si="284"/>
        <v>41699</v>
      </c>
      <c r="K569" s="391">
        <f t="shared" ca="1" si="285"/>
        <v>97.486791041286764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20.25" customHeight="1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342778)</f>
        <v>342778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20.25" customHeight="1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38389)</f>
        <v>38389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20.25" customHeight="1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23439)</f>
        <v>23439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20.25" customHeight="1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2402)</f>
        <v>2402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20.25" customHeight="1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7734.7775)</f>
        <v>7734.7775000000001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20.25" customHeight="1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908)</f>
        <v>908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20.25" customHeight="1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0">
        <f t="shared" ref="J576:J577" ca="1" si="286">J578+J580+J582+J588+J590</f>
        <v>362555.98000000004</v>
      </c>
      <c r="K576" s="391">
        <f t="shared" ref="K576:K577" ca="1" si="287">IF(I576&gt;0,J576*100/I576,0)</f>
        <v>95.274078940453066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20.25" customHeight="1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0">
        <f t="shared" ca="1" si="286"/>
        <v>40674</v>
      </c>
      <c r="K577" s="391">
        <f t="shared" ca="1" si="287"/>
        <v>95.090475522513671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20.25" customHeight="1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338957.2)</f>
        <v>338957.2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20.25" customHeight="1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38258)</f>
        <v>38258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20.25" customHeight="1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15281)</f>
        <v>15281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20.25" customHeight="1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1344)</f>
        <v>1344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20.25" customHeight="1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ca="1" si="288">J584+J586</f>
        <v>6894.78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20.25" customHeight="1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ca="1" si="288"/>
        <v>854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20.25" customHeight="1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6894.78)</f>
        <v>6894.78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20.25" customHeight="1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854)</f>
        <v>854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20.25" customHeight="1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20.25" customHeight="1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20.25" customHeight="1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1423)</f>
        <v>1423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20.25" customHeight="1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218)</f>
        <v>218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20.25" customHeight="1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20.25" customHeight="1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20.25" customHeight="1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89">I593</f>
        <v>44574.529999999897</v>
      </c>
      <c r="J592" s="630">
        <f t="shared" ca="1" si="289"/>
        <v>16076.775</v>
      </c>
      <c r="K592" s="631">
        <f t="shared" ref="K592:K594" ca="1" si="290">IF(I592&gt;0,J592*100/I592,0)</f>
        <v>36.067177825543055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20.25" customHeight="1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89">
        <f t="shared" ref="J593:J594" ca="1" si="291">J595+J603+J609</f>
        <v>16076.775</v>
      </c>
      <c r="K593" s="391">
        <f t="shared" ca="1" si="290"/>
        <v>36.067177825543055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20.25" customHeight="1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89">
        <f t="shared" ca="1" si="291"/>
        <v>1668</v>
      </c>
      <c r="K594" s="391">
        <f t="shared" ca="1" si="290"/>
        <v>39.432624113475178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20.25" customHeight="1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ca="1" si="292">J597+J599</f>
        <v>10159.5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20.25" customHeight="1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ca="1" si="292"/>
        <v>1036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20.25" customHeight="1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10150.5)</f>
        <v>10150.5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20.25" customHeight="1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1032)</f>
        <v>1032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20.25" customHeight="1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9)</f>
        <v>9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20.25" customHeight="1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4)</f>
        <v>4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20.25" customHeight="1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20.25" customHeight="1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20.25" customHeight="1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ca="1" si="293">J605+J607</f>
        <v>3317.2750000000001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20.25" customHeight="1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ca="1" si="293"/>
        <v>418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20.25" customHeight="1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3062.275)</f>
        <v>3062.2750000000001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20.25" customHeight="1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397)</f>
        <v>397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20.25" customHeight="1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255)</f>
        <v>255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20.25" customHeight="1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21)</f>
        <v>21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20.25" customHeight="1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2600)</f>
        <v>2600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20.25" customHeight="1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214)</f>
        <v>214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20.25" customHeight="1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94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20.25" hidden="1" customHeight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95">J614+J616</f>
        <v>0</v>
      </c>
      <c r="K612" s="666">
        <f t="shared" si="294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20.25" hidden="1" customHeight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95"/>
        <v>0</v>
      </c>
      <c r="K613" s="666">
        <f t="shared" si="294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20.25" hidden="1" customHeight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20.25" hidden="1" customHeight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20.25" hidden="1" customHeight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20.25" hidden="1" customHeight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20.25" hidden="1" customHeight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20.25" hidden="1" customHeight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20.25" customHeight="1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285)</f>
        <v>285</v>
      </c>
      <c r="J620" s="675">
        <f t="shared" ref="J620:J621" ca="1" si="296">J622+J624+J626</f>
        <v>66</v>
      </c>
      <c r="K620" s="676">
        <f t="shared" ref="K620:K621" ca="1" si="297">IF(I620&gt;0,J620*100/I620,0)</f>
        <v>23.157894736842106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20.25" customHeight="1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39)</f>
        <v>39</v>
      </c>
      <c r="J621" s="675">
        <f t="shared" ca="1" si="296"/>
        <v>10</v>
      </c>
      <c r="K621" s="676">
        <f t="shared" ca="1" si="297"/>
        <v>25.641025641025642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20.25" customHeight="1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65)</f>
        <v>65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20.25" customHeight="1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9)</f>
        <v>9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20.25" customHeight="1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1)</f>
        <v>1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20.25" customHeight="1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1)</f>
        <v>1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20.25" customHeight="1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20.25" customHeight="1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20.25" customHeight="1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98">I651</f>
        <v>324</v>
      </c>
      <c r="J628" s="686">
        <f t="shared" ca="1" si="298"/>
        <v>81</v>
      </c>
      <c r="K628" s="687">
        <f ca="1">IF(I628&gt;0,J628*100/I628,0)</f>
        <v>25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20.25" customHeight="1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99">L630+L631</f>
        <v>1558770</v>
      </c>
      <c r="M629" s="191">
        <f t="shared" ca="1" si="299"/>
        <v>1558770</v>
      </c>
      <c r="N629" s="191">
        <f t="shared" ca="1" si="299"/>
        <v>625866.30000000005</v>
      </c>
      <c r="O629" s="191">
        <f t="shared" ref="O629:O634" ca="1" si="300">IF(L629&gt;0,N629*100/L629,0)</f>
        <v>40.151292365134054</v>
      </c>
      <c r="P629" s="191">
        <f t="shared" ref="P629:P634" ca="1" si="301">IF(M629&gt;0,N629*100/M629,0)</f>
        <v>40.151292365134054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20.25" hidden="1" customHeight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20.25" hidden="1" customHeight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ca="1" si="303"/>
        <v>1558770</v>
      </c>
      <c r="N631" s="45">
        <f t="shared" ca="1" si="303"/>
        <v>625866.30000000005</v>
      </c>
      <c r="O631" s="45">
        <f t="shared" ca="1" si="300"/>
        <v>40.151292365134054</v>
      </c>
      <c r="P631" s="45">
        <f t="shared" ca="1" si="301"/>
        <v>40.151292365134054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20.25" customHeight="1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304">L633+L634</f>
        <v>1558770</v>
      </c>
      <c r="M632" s="38">
        <f t="shared" ca="1" si="304"/>
        <v>1558770</v>
      </c>
      <c r="N632" s="38">
        <f t="shared" ca="1" si="304"/>
        <v>625866.30000000005</v>
      </c>
      <c r="O632" s="38">
        <f t="shared" ca="1" si="300"/>
        <v>40.151292365134054</v>
      </c>
      <c r="P632" s="38">
        <f t="shared" ca="1" si="301"/>
        <v>40.151292365134054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20.25" hidden="1" customHeight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300"/>
        <v>0</v>
      </c>
      <c r="P633" s="45">
        <f t="shared" si="301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20.25" hidden="1" customHeight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45">
        <f ca="1">IFERROR(__xludf.DUMMYFUNCTION("IMPORTRANGE(""https://docs.google.com/spreadsheets/d/1kC41EOXpGBFOW658Fs3oD8beYlym0-zO54WY-2Qnp9I/edit?usp=share_link"",""กระบี่!M634"")
+IMPORTRANGE(""https://docs.google.com/spreadsheets/d/1FbzMZY_f3MDiEuK7RpCQKrilJ_kpX0Wm7QBZ1L7EjIU/edit?usp=share_link"&amp;""",""ชุมพร!M634"")+IMPORTRANGE(""https://docs.google.com/spreadsheets/d/1v5sN-00LrXuhBxw4dkh2GrG_z4l5oAqOdJRBCsUyMaM/edit?usp=share_link"",""ตรัง!M634"")+IMPORTRANGE(""https://docs.google.com/spreadsheets/d/1T5rRTzFc79aSIvqnzkZNvwPstq829QYz_xALlO1Z0s8/edi"&amp;"t?usp=share_link"",""นครศรีธรรมราช!M634"")+IMPORTRANGE(""https://docs.google.com/spreadsheets/d/1BeghqumK0IvCmRd2QOy6_afsZq7ZtAGrSnVJy2u7WmY/edit?usp=share_link"",""นราธิวาส!M634"")+IMPORTRANGE(""https://docs.google.com/spreadsheets/d/1IwnW3-jjRf74MCLW-6P"&amp;"iFwMUffRQXZwZA7YM609NmRc/edit?usp=share_link"",""ปัตตานี!M634"")+IMPORTRANGE(""https://docs.google.com/spreadsheets/d/1vl4QWbWdFruual5o_wdo6ZSqXZ_it806oja4CctTLKs/edit?usp=share_link"",""พังงา!M634"")+IMPORTRANGE(""https://docs.google.com/spreadsheets/d/1"&amp;"b6QssHQp2FoAPSMKHOy273KNzAomaIKhtdlvuZ_zDNE/edit?usp=share_link"",""พัทลุง!M634"")+IMPORTRANGE(""https://docs.google.com/spreadsheets/d/1o7UZe4_OqlqtLDHrj01Z2YFRSZDf1DMy1n3XViHaxRc/edit?usp=share_link"",""ภูเก็ต!M634"")+IMPORTRANGE(""https://docs.google.c"&amp;"om/spreadsheets/d/1ctPm1vUzcUCPuOj9-eoHUD85PqINFqUB0TjdSWmR5-c/edit?usp=share_link"",""ยะลา!M634"")+IMPORTRANGE(""https://docs.google.com/spreadsheets/d/1YiDIE7Klmt8osgdapRqYWNr7iPGFSsiJqq46S7PYRE0/edit?usp=share_link"",""ระนอง!M634"")+IMPORTRANGE(""https"&amp;"://docs.google.com/spreadsheets/d/16o_4B-V7AWw_6E93bSpXj_XxVv1oVQctk-B6z1dNEWU/edit?usp=share_link"",""สงขลา!M634"")+IMPORTRANGE(""https://docs.google.com/spreadsheets/d/16cywr71Fj4fA5OGRHsZh30ZG2gwJhMAQv69oVBzYHv0/edit?usp=share_link"",""สตูล!M634"")+IMP"&amp;"ORTRANGE(""https://docs.google.com/spreadsheets/d/1vO9Sws6kMtrVtyvrAJptINXjK8TFBoX9xLYOVK_C8bQ/edit?usp=share_link"",""สุราษฎร์ธานี!M634"")"),1558770)</f>
        <v>1558770</v>
      </c>
      <c r="N634" s="45">
        <f ca="1">N635+N636+N637+N638</f>
        <v>625866.30000000005</v>
      </c>
      <c r="O634" s="45">
        <f t="shared" ca="1" si="300"/>
        <v>40.151292365134054</v>
      </c>
      <c r="P634" s="45">
        <f t="shared" ca="1" si="301"/>
        <v>40.151292365134054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20.25" customHeight="1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47450)</f>
        <v>47450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20.25" customHeight="1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4896)</f>
        <v>4896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20.25" customHeight="1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230212.66)</f>
        <v>230212.66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20.25" customHeight="1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343307.64)</f>
        <v>343307.64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20.25" customHeight="1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20.25" hidden="1" customHeight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306"/>
        <v>0</v>
      </c>
      <c r="P640" s="45">
        <f t="shared" si="307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20.25" hidden="1" customHeight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45">
        <v>0</v>
      </c>
      <c r="N641" s="45">
        <v>0</v>
      </c>
      <c r="O641" s="45">
        <f t="shared" ca="1" si="306"/>
        <v>0</v>
      </c>
      <c r="P641" s="45">
        <f t="shared" si="307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20.25" customHeight="1">
      <c r="A642" s="571"/>
      <c r="B642" s="572"/>
      <c r="C642" s="542" t="s">
        <v>16</v>
      </c>
      <c r="D642" s="633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20.25" customHeight="1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1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3)</f>
        <v>3</v>
      </c>
      <c r="K643" s="162">
        <f t="shared" ref="K643:K652" ca="1" si="308">IF(I643&gt;0,J643*100/I643,0)</f>
        <v>60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20.25" customHeight="1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1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1)</f>
        <v>1</v>
      </c>
      <c r="K644" s="162">
        <f t="shared" ca="1" si="308"/>
        <v>20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20.25" customHeight="1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65)</f>
        <v>65</v>
      </c>
      <c r="K645" s="162">
        <f t="shared" si="308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20.25" customHeight="1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21.26)</f>
        <v>21.26</v>
      </c>
      <c r="K646" s="38">
        <f t="shared" si="308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20.25" customHeight="1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140)</f>
        <v>140</v>
      </c>
      <c r="K647" s="162">
        <f t="shared" ca="1" si="308"/>
        <v>43.209876543209873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20.25" customHeight="1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37.8)</f>
        <v>37.799999999999997</v>
      </c>
      <c r="K648" s="38">
        <f t="shared" si="308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20.25" customHeight="1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81)</f>
        <v>81</v>
      </c>
      <c r="K649" s="162">
        <f t="shared" ca="1" si="308"/>
        <v>25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20.25" customHeight="1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20.48)</f>
        <v>20.48</v>
      </c>
      <c r="K650" s="38">
        <f t="shared" si="308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20.25" customHeight="1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81)</f>
        <v>81</v>
      </c>
      <c r="K651" s="162">
        <f t="shared" ca="1" si="308"/>
        <v>25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20.25" customHeight="1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22)</f>
        <v>22</v>
      </c>
      <c r="K652" s="475">
        <f t="shared" si="308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20.25" customHeight="1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20.25" customHeight="1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309">I669</f>
        <v>250</v>
      </c>
      <c r="J654" s="630">
        <f t="shared" ca="1" si="309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20.25" customHeight="1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310">L656+L657</f>
        <v>55000</v>
      </c>
      <c r="M655" s="191">
        <f t="shared" ca="1" si="310"/>
        <v>55000</v>
      </c>
      <c r="N655" s="191">
        <f t="shared" ca="1" si="310"/>
        <v>38617.4</v>
      </c>
      <c r="O655" s="191">
        <f t="shared" ref="O655:O660" ca="1" si="311">IF(L655&gt;0,N655*100/L655,0)</f>
        <v>70.213454545454539</v>
      </c>
      <c r="P655" s="191">
        <f t="shared" ref="P655:P660" ca="1" si="312">IF(M655&gt;0,N655*100/M655,0)</f>
        <v>70.213454545454539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20.25" hidden="1" customHeight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20.25" hidden="1" customHeight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ca="1" si="314"/>
        <v>55000</v>
      </c>
      <c r="N657" s="45">
        <f t="shared" ca="1" si="314"/>
        <v>38617.4</v>
      </c>
      <c r="O657" s="45">
        <f t="shared" ca="1" si="311"/>
        <v>70.213454545454539</v>
      </c>
      <c r="P657" s="45">
        <f t="shared" ca="1" si="312"/>
        <v>70.213454545454539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20.25" customHeight="1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315">L659+L660</f>
        <v>55000</v>
      </c>
      <c r="M658" s="38">
        <f t="shared" ca="1" si="315"/>
        <v>55000</v>
      </c>
      <c r="N658" s="38">
        <f t="shared" ca="1" si="315"/>
        <v>38617.4</v>
      </c>
      <c r="O658" s="38">
        <f t="shared" ca="1" si="311"/>
        <v>70.213454545454539</v>
      </c>
      <c r="P658" s="38">
        <f t="shared" ca="1" si="312"/>
        <v>70.213454545454539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20.25" hidden="1" customHeight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311"/>
        <v>0</v>
      </c>
      <c r="P659" s="45">
        <f t="shared" si="312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20.25" hidden="1" customHeight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45">
        <f ca="1">IFERROR(__xludf.DUMMYFUNCTION("IMPORTRANGE(""https://docs.google.com/spreadsheets/d/1kC41EOXpGBFOW658Fs3oD8beYlym0-zO54WY-2Qnp9I/edit?usp=share_link"",""กระบี่!M660"")
+IMPORTRANGE(""https://docs.google.com/spreadsheets/d/1FbzMZY_f3MDiEuK7RpCQKrilJ_kpX0Wm7QBZ1L7EjIU/edit?usp=share_link"&amp;""",""ชุมพร!M660"")+IMPORTRANGE(""https://docs.google.com/spreadsheets/d/1v5sN-00LrXuhBxw4dkh2GrG_z4l5oAqOdJRBCsUyMaM/edit?usp=share_link"",""ตรัง!M660"")+IMPORTRANGE(""https://docs.google.com/spreadsheets/d/1T5rRTzFc79aSIvqnzkZNvwPstq829QYz_xALlO1Z0s8/edi"&amp;"t?usp=share_link"",""นครศรีธรรมราช!M660"")+IMPORTRANGE(""https://docs.google.com/spreadsheets/d/1BeghqumK0IvCmRd2QOy6_afsZq7ZtAGrSnVJy2u7WmY/edit?usp=share_link"",""นราธิวาส!M660"")+IMPORTRANGE(""https://docs.google.com/spreadsheets/d/1IwnW3-jjRf74MCLW-6P"&amp;"iFwMUffRQXZwZA7YM609NmRc/edit?usp=share_link"",""ปัตตานี!M660"")+IMPORTRANGE(""https://docs.google.com/spreadsheets/d/1vl4QWbWdFruual5o_wdo6ZSqXZ_it806oja4CctTLKs/edit?usp=share_link"",""พังงา!M660"")+IMPORTRANGE(""https://docs.google.com/spreadsheets/d/1"&amp;"b6QssHQp2FoAPSMKHOy273KNzAomaIKhtdlvuZ_zDNE/edit?usp=share_link"",""พัทลุง!M660"")+IMPORTRANGE(""https://docs.google.com/spreadsheets/d/1o7UZe4_OqlqtLDHrj01Z2YFRSZDf1DMy1n3XViHaxRc/edit?usp=share_link"",""ภูเก็ต!M660"")+IMPORTRANGE(""https://docs.google.c"&amp;"om/spreadsheets/d/1ctPm1vUzcUCPuOj9-eoHUD85PqINFqUB0TjdSWmR5-c/edit?usp=share_link"",""ยะลา!M660"")+IMPORTRANGE(""https://docs.google.com/spreadsheets/d/1YiDIE7Klmt8osgdapRqYWNr7iPGFSsiJqq46S7PYRE0/edit?usp=share_link"",""ระนอง!M660"")+IMPORTRANGE(""https"&amp;"://docs.google.com/spreadsheets/d/16o_4B-V7AWw_6E93bSpXj_XxVv1oVQctk-B6z1dNEWU/edit?usp=share_link"",""สงขลา!M660"")+IMPORTRANGE(""https://docs.google.com/spreadsheets/d/16cywr71Fj4fA5OGRHsZh30ZG2gwJhMAQv69oVBzYHv0/edit?usp=share_link"",""สตูล!M660"")+IMP"&amp;"ORTRANGE(""https://docs.google.com/spreadsheets/d/1vO9Sws6kMtrVtyvrAJptINXjK8TFBoX9xLYOVK_C8bQ/edit?usp=share_link"",""สุราษฎร์ธานี!M660"")"),55000)</f>
        <v>55000</v>
      </c>
      <c r="N660" s="45">
        <f ca="1">N661+N662+N663+N664</f>
        <v>38617.4</v>
      </c>
      <c r="O660" s="45">
        <f t="shared" ca="1" si="311"/>
        <v>70.213454545454539</v>
      </c>
      <c r="P660" s="45">
        <f t="shared" ca="1" si="312"/>
        <v>70.213454545454539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20.25" customHeight="1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20.25" customHeight="1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20.25" customHeight="1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20.25" customHeight="1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38617.4)</f>
        <v>38617.4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20.25" customHeight="1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20.25" hidden="1" customHeight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317"/>
        <v>0</v>
      </c>
      <c r="P666" s="45">
        <f t="shared" si="318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20.25" hidden="1" customHeight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317"/>
        <v>0</v>
      </c>
      <c r="P667" s="45">
        <f t="shared" si="318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20.25" customHeight="1">
      <c r="A668" s="571"/>
      <c r="B668" s="572"/>
      <c r="C668" s="541" t="s">
        <v>16</v>
      </c>
      <c r="D668" s="573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20.25" customHeight="1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0">
        <f ca="1"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20.25" customHeight="1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1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20.25" customHeight="1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1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20.25" customHeight="1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8">
        <f t="shared" ref="K672:K675" ca="1" si="319">IF(I$669&gt;0,J672*100/I$669,0)</f>
        <v>103.6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20.25" customHeight="1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57)</f>
        <v>57</v>
      </c>
      <c r="K673" s="38">
        <f t="shared" ca="1" si="319"/>
        <v>22.8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20.25" customHeight="1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20.25" customHeight="1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 ca="1">J676+J677</f>
        <v>0</v>
      </c>
      <c r="K675" s="191">
        <f t="shared" ca="1" si="319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20.25" customHeight="1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20.25" customHeight="1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20.25" customHeight="1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0">
        <f ca="1">J679</f>
        <v>168.76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20.25" customHeight="1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 ca="1">J680+J681</f>
        <v>168.76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20.25" customHeight="1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20.25" customHeight="1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20.25" customHeight="1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20.25" customHeight="1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20.25" customHeight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20.25" customHeight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320">L686+L687</f>
        <v>63040</v>
      </c>
      <c r="M685" s="191">
        <f t="shared" ca="1" si="320"/>
        <v>63040</v>
      </c>
      <c r="N685" s="191">
        <f t="shared" ca="1" si="320"/>
        <v>11400</v>
      </c>
      <c r="O685" s="191">
        <f t="shared" ref="O685:O688" ca="1" si="321">IF(L685&gt;0,N685*100/L685,0)</f>
        <v>18.083756345177665</v>
      </c>
      <c r="P685" s="191">
        <f t="shared" ref="P685:P688" ca="1" si="322">IF(M685&gt;0,N685*100/M685,0)</f>
        <v>18.083756345177665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20.25" hidden="1" customHeight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20.25" hidden="1" customHeight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ca="1" si="324"/>
        <v>63040</v>
      </c>
      <c r="N687" s="45">
        <f t="shared" ca="1" si="324"/>
        <v>11400</v>
      </c>
      <c r="O687" s="45">
        <f t="shared" ca="1" si="321"/>
        <v>18.083756345177665</v>
      </c>
      <c r="P687" s="45">
        <f t="shared" ca="1" si="322"/>
        <v>18.083756345177665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20.25" customHeight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325">L689+L690</f>
        <v>63040</v>
      </c>
      <c r="M688" s="38">
        <f t="shared" ca="1" si="325"/>
        <v>63040</v>
      </c>
      <c r="N688" s="38">
        <f t="shared" ca="1" si="325"/>
        <v>11400</v>
      </c>
      <c r="O688" s="38">
        <f t="shared" ca="1" si="321"/>
        <v>18.083756345177665</v>
      </c>
      <c r="P688" s="38">
        <f t="shared" ca="1" si="322"/>
        <v>18.083756345177665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20.25" hidden="1" customHeight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20.25" hidden="1" customHeight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45">
        <f ca="1">IFERROR(__xludf.DUMMYFUNCTION("IMPORTRANGE(""https://docs.google.com/spreadsheets/d/1kC41EOXpGBFOW658Fs3oD8beYlym0-zO54WY-2Qnp9I/edit?usp=share_link"",""กระบี่!M690"")
+IMPORTRANGE(""https://docs.google.com/spreadsheets/d/1FbzMZY_f3MDiEuK7RpCQKrilJ_kpX0Wm7QBZ1L7EjIU/edit?usp=share_link"&amp;""",""ชุมพร!M690"")+IMPORTRANGE(""https://docs.google.com/spreadsheets/d/1v5sN-00LrXuhBxw4dkh2GrG_z4l5oAqOdJRBCsUyMaM/edit?usp=share_link"",""ตรัง!M690"")+IMPORTRANGE(""https://docs.google.com/spreadsheets/d/1T5rRTzFc79aSIvqnzkZNvwPstq829QYz_xALlO1Z0s8/edi"&amp;"t?usp=share_link"",""นครศรีธรรมราช!M690"")+IMPORTRANGE(""https://docs.google.com/spreadsheets/d/1BeghqumK0IvCmRd2QOy6_afsZq7ZtAGrSnVJy2u7WmY/edit?usp=share_link"",""นราธิวาส!M690"")+IMPORTRANGE(""https://docs.google.com/spreadsheets/d/1IwnW3-jjRf74MCLW-6P"&amp;"iFwMUffRQXZwZA7YM609NmRc/edit?usp=share_link"",""ปัตตานี!M690"")+IMPORTRANGE(""https://docs.google.com/spreadsheets/d/1vl4QWbWdFruual5o_wdo6ZSqXZ_it806oja4CctTLKs/edit?usp=share_link"",""พังงา!M690"")+IMPORTRANGE(""https://docs.google.com/spreadsheets/d/1"&amp;"b6QssHQp2FoAPSMKHOy273KNzAomaIKhtdlvuZ_zDNE/edit?usp=share_link"",""พัทลุง!M690"")+IMPORTRANGE(""https://docs.google.com/spreadsheets/d/1o7UZe4_OqlqtLDHrj01Z2YFRSZDf1DMy1n3XViHaxRc/edit?usp=share_link"",""ภูเก็ต!M690"")+IMPORTRANGE(""https://docs.google.c"&amp;"om/spreadsheets/d/1ctPm1vUzcUCPuOj9-eoHUD85PqINFqUB0TjdSWmR5-c/edit?usp=share_link"",""ยะลา!M690"")+IMPORTRANGE(""https://docs.google.com/spreadsheets/d/1YiDIE7Klmt8osgdapRqYWNr7iPGFSsiJqq46S7PYRE0/edit?usp=share_link"",""ระนอง!M690"")+IMPORTRANGE(""https"&amp;"://docs.google.com/spreadsheets/d/16o_4B-V7AWw_6E93bSpXj_XxVv1oVQctk-B6z1dNEWU/edit?usp=share_link"",""สงขลา!M690"")+IMPORTRANGE(""https://docs.google.com/spreadsheets/d/16cywr71Fj4fA5OGRHsZh30ZG2gwJhMAQv69oVBzYHv0/edit?usp=share_link"",""สตูล!M690"")+IMP"&amp;"ORTRANGE(""https://docs.google.com/spreadsheets/d/1vO9Sws6kMtrVtyvrAJptINXjK8TFBoX9xLYOVK_C8bQ/edit?usp=share_link"",""สุราษฎร์ธานี!M690"")"),63040)</f>
        <v>63040</v>
      </c>
      <c r="N690" s="45">
        <f ca="1">N691+N692+N693+N694</f>
        <v>11400</v>
      </c>
      <c r="O690" s="45">
        <f ca="1">IF(L690&gt;0,N690*100/L690,0)</f>
        <v>18.083756345177665</v>
      </c>
      <c r="P690" s="45">
        <f ca="1">IF(M690&gt;0,N690*100/M690,0)</f>
        <v>18.083756345177665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20.25" customHeight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20.25" customHeight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20.25" customHeight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20.25" customHeight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11400)</f>
        <v>11400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20.25" customHeight="1">
      <c r="A695" s="562"/>
      <c r="B695" s="541"/>
      <c r="C695" s="542"/>
      <c r="D695" s="70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20.25" hidden="1" customHeight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327"/>
        <v>0</v>
      </c>
      <c r="P696" s="45">
        <f t="shared" si="32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20.25" hidden="1" customHeight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327"/>
        <v>0</v>
      </c>
      <c r="P697" s="45">
        <f t="shared" si="32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20.25" customHeight="1">
      <c r="A698" s="571"/>
      <c r="B698" s="572"/>
      <c r="C698" s="542" t="s">
        <v>16</v>
      </c>
      <c r="D698" s="701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20.25" customHeight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84.81)</f>
        <v>84.81</v>
      </c>
      <c r="K699" s="38">
        <f t="shared" ref="K699:K701" ca="1" si="329">IF(I699&gt;0,J699*100/I699,0)</f>
        <v>34.197580645161288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20.25" customHeight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20.25" customHeight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0">
        <f ca="1">J704+J707</f>
        <v>0</v>
      </c>
      <c r="K701" s="191">
        <f t="shared" ca="1" si="329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20.25" customHeight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20.25" customHeight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20.25" customHeight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1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20.25" customHeight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20.25" customHeight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20.25" customHeight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1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20.25" customHeight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0">
        <f ca="1"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20.25" customHeight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20.25" customHeight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20.25" customHeight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20.25" customHeight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20.25" customHeight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20.25" customHeight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20.25" customHeight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20.25" customHeight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20.25" customHeight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20.25" customHeight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20.25" customHeight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20.25" customHeight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20.25" customHeight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0">
        <f ca="1">J723+J726</f>
        <v>0</v>
      </c>
      <c r="K721" s="191">
        <f t="shared" ca="1" si="330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20.25" customHeight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0">
        <f ca="1">J725+J728</f>
        <v>0</v>
      </c>
      <c r="K722" s="191">
        <f t="shared" ca="1" si="330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20.25" customHeight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20.25" customHeight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20.25" customHeight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20.25" customHeight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20.25" customHeight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20.25" customHeight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20.25" customHeight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0">
        <f ca="1">J732+J735</f>
        <v>0</v>
      </c>
      <c r="K729" s="191">
        <f t="shared" ca="1" si="332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20.25" customHeight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20.25" customHeight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20.25" customHeight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20.25" customHeight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20.25" customHeight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20.25" customHeight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20.25" hidden="1" customHeight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20.25" hidden="1" customHeight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333">L738+L739</f>
        <v>0</v>
      </c>
      <c r="M737" s="601">
        <f t="shared" si="333"/>
        <v>0</v>
      </c>
      <c r="N737" s="601">
        <f t="shared" si="333"/>
        <v>0</v>
      </c>
      <c r="O737" s="601">
        <f t="shared" ref="O737:O742" si="334">IF(L737&gt;0,N737*100/L737,0)</f>
        <v>0</v>
      </c>
      <c r="P737" s="601">
        <f t="shared" ref="P737:P742" si="33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20.25" hidden="1" customHeight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20.25" hidden="1" customHeight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20.25" hidden="1" customHeight="1">
      <c r="A740" s="564"/>
      <c r="B740" s="569"/>
      <c r="C740" s="565"/>
      <c r="D740" s="717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338">L741+L742</f>
        <v>0</v>
      </c>
      <c r="M740" s="601">
        <f t="shared" si="338"/>
        <v>0</v>
      </c>
      <c r="N740" s="601">
        <f t="shared" si="338"/>
        <v>0</v>
      </c>
      <c r="O740" s="601">
        <f t="shared" si="334"/>
        <v>0</v>
      </c>
      <c r="P740" s="601">
        <f t="shared" si="33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20.25" hidden="1" customHeight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334"/>
        <v>0</v>
      </c>
      <c r="P741" s="45">
        <f t="shared" si="33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20.25" hidden="1" customHeight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20.25" hidden="1" customHeight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20.25" hidden="1" customHeight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20.25" hidden="1" customHeight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20.25" hidden="1" customHeight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20.25" hidden="1" customHeight="1">
      <c r="A747" s="564"/>
      <c r="B747" s="569"/>
      <c r="C747" s="565"/>
      <c r="D747" s="717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339">L748+L749</f>
        <v>0</v>
      </c>
      <c r="M747" s="601">
        <f t="shared" si="339"/>
        <v>0</v>
      </c>
      <c r="N747" s="601">
        <f t="shared" si="339"/>
        <v>0</v>
      </c>
      <c r="O747" s="601">
        <f t="shared" ref="O747:O749" si="340">IF(L747&gt;0,N747*100/L747,0)</f>
        <v>0</v>
      </c>
      <c r="P747" s="601">
        <f t="shared" ref="P747:P749" si="34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20.25" hidden="1" customHeight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40"/>
        <v>0</v>
      </c>
      <c r="P748" s="45">
        <f t="shared" si="34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20.25" hidden="1" customHeight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40"/>
        <v>0</v>
      </c>
      <c r="P749" s="45">
        <f t="shared" si="34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20.25" hidden="1" customHeight="1">
      <c r="A750" s="577"/>
      <c r="B750" s="578"/>
      <c r="C750" s="565" t="s">
        <v>16</v>
      </c>
      <c r="D750" s="719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20.25" hidden="1" customHeight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20.25" hidden="1" customHeight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20.25" hidden="1" customHeight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20.25" hidden="1" customHeight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42">L755+L756</f>
        <v>0</v>
      </c>
      <c r="M754" s="601">
        <f t="shared" si="342"/>
        <v>0</v>
      </c>
      <c r="N754" s="601">
        <f t="shared" si="342"/>
        <v>0</v>
      </c>
      <c r="O754" s="601">
        <f t="shared" ref="O754:O759" si="343">IF(L754&gt;0,N754*100/L754,0)</f>
        <v>0</v>
      </c>
      <c r="P754" s="601">
        <f t="shared" ref="P754:P759" si="34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20.25" hidden="1" customHeight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20.25" hidden="1" customHeight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20.25" hidden="1" customHeight="1">
      <c r="A757" s="564"/>
      <c r="B757" s="569"/>
      <c r="C757" s="565"/>
      <c r="D757" s="717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47">L758+L759</f>
        <v>0</v>
      </c>
      <c r="M757" s="601">
        <f t="shared" si="347"/>
        <v>0</v>
      </c>
      <c r="N757" s="601">
        <f t="shared" si="347"/>
        <v>0</v>
      </c>
      <c r="O757" s="601">
        <f t="shared" si="343"/>
        <v>0</v>
      </c>
      <c r="P757" s="601">
        <f t="shared" si="34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20.25" hidden="1" customHeight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43"/>
        <v>0</v>
      </c>
      <c r="P758" s="45">
        <f t="shared" si="34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20.25" hidden="1" customHeight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20.25" hidden="1" customHeight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20.25" hidden="1" customHeight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20.25" hidden="1" customHeight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20.25" hidden="1" customHeight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20.25" hidden="1" customHeight="1">
      <c r="A764" s="564"/>
      <c r="B764" s="569"/>
      <c r="C764" s="565"/>
      <c r="D764" s="717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48">L765+L766</f>
        <v>0</v>
      </c>
      <c r="M764" s="601">
        <f t="shared" si="348"/>
        <v>0</v>
      </c>
      <c r="N764" s="601">
        <f t="shared" si="348"/>
        <v>0</v>
      </c>
      <c r="O764" s="601">
        <f t="shared" ref="O764:O766" si="349">IF(L764&gt;0,N764*100/L764,0)</f>
        <v>0</v>
      </c>
      <c r="P764" s="601">
        <f t="shared" ref="P764:P766" si="350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20.25" hidden="1" customHeight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49"/>
        <v>0</v>
      </c>
      <c r="P765" s="45">
        <f t="shared" si="350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20.25" hidden="1" customHeight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49"/>
        <v>0</v>
      </c>
      <c r="P766" s="45">
        <f t="shared" si="350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20.25" hidden="1" customHeight="1">
      <c r="A767" s="577"/>
      <c r="B767" s="578"/>
      <c r="C767" s="565" t="s">
        <v>16</v>
      </c>
      <c r="D767" s="719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20.25" hidden="1" customHeight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20.25" hidden="1" customHeight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20.25" hidden="1" customHeight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51">L771+L772</f>
        <v>0</v>
      </c>
      <c r="M770" s="601">
        <f t="shared" si="351"/>
        <v>0</v>
      </c>
      <c r="N770" s="601">
        <f t="shared" si="351"/>
        <v>0</v>
      </c>
      <c r="O770" s="601">
        <f t="shared" ref="O770:O775" si="352">IF(L770&gt;0,N770*100/L770,0)</f>
        <v>0</v>
      </c>
      <c r="P770" s="601">
        <f t="shared" ref="P770:P775" si="353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20.25" hidden="1" customHeight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20.25" hidden="1" customHeight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20.25" hidden="1" customHeight="1">
      <c r="A773" s="564"/>
      <c r="B773" s="569"/>
      <c r="C773" s="565"/>
      <c r="D773" s="717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56">L774+L775</f>
        <v>0</v>
      </c>
      <c r="M773" s="601">
        <f t="shared" si="356"/>
        <v>0</v>
      </c>
      <c r="N773" s="601">
        <f t="shared" si="356"/>
        <v>0</v>
      </c>
      <c r="O773" s="601">
        <f t="shared" si="352"/>
        <v>0</v>
      </c>
      <c r="P773" s="601">
        <f t="shared" si="353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20.25" hidden="1" customHeight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52"/>
        <v>0</v>
      </c>
      <c r="P774" s="45">
        <f t="shared" si="353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20.25" hidden="1" customHeight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20.25" hidden="1" customHeight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20.25" hidden="1" customHeight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20.25" hidden="1" customHeight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20.25" hidden="1" customHeight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20.25" hidden="1" customHeight="1">
      <c r="A780" s="564"/>
      <c r="B780" s="569"/>
      <c r="C780" s="565"/>
      <c r="D780" s="717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57">L781+L782</f>
        <v>0</v>
      </c>
      <c r="M780" s="601">
        <f t="shared" si="357"/>
        <v>0</v>
      </c>
      <c r="N780" s="601">
        <f t="shared" si="357"/>
        <v>0</v>
      </c>
      <c r="O780" s="601">
        <f t="shared" ref="O780:O782" si="358">IF(L780&gt;0,N780*100/L780,0)</f>
        <v>0</v>
      </c>
      <c r="P780" s="601">
        <f t="shared" ref="P780:P782" si="359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20.25" hidden="1" customHeight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58"/>
        <v>0</v>
      </c>
      <c r="P781" s="45">
        <f t="shared" si="359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20.25" hidden="1" customHeight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58"/>
        <v>0</v>
      </c>
      <c r="P782" s="45">
        <f t="shared" si="359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20.25" hidden="1" customHeight="1">
      <c r="A783" s="577"/>
      <c r="B783" s="578"/>
      <c r="C783" s="565" t="s">
        <v>16</v>
      </c>
      <c r="D783" s="719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20.25" hidden="1" customHeight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20.25" customHeight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60">I800</f>
        <v>0</v>
      </c>
      <c r="J785" s="743">
        <f t="shared" ca="1" si="360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20.25" customHeight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61">L787+L788</f>
        <v>0</v>
      </c>
      <c r="M786" s="191">
        <f t="shared" si="361"/>
        <v>0</v>
      </c>
      <c r="N786" s="191">
        <f t="shared" ca="1" si="361"/>
        <v>0</v>
      </c>
      <c r="O786" s="191">
        <f t="shared" ref="O786:O791" ca="1" si="362">IF(L786&gt;0,N786*100/L786,0)</f>
        <v>0</v>
      </c>
      <c r="P786" s="191">
        <f t="shared" ref="P786:P791" si="363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20.25" hidden="1" customHeight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20.25" hidden="1" customHeight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20.25" customHeight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20.25" hidden="1" customHeight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62"/>
        <v>0</v>
      </c>
      <c r="P790" s="45">
        <f t="shared" si="363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20.25" hidden="1" customHeight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45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20.25" customHeight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20.25" customHeight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20.25" customHeight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20.25" customHeight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20.25" customHeight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20.25" hidden="1" customHeight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68"/>
        <v>0</v>
      </c>
      <c r="P797" s="45">
        <f t="shared" si="369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20.25" hidden="1" customHeight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68"/>
        <v>0</v>
      </c>
      <c r="P798" s="45">
        <f t="shared" si="369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20.25" customHeight="1">
      <c r="A799" s="571"/>
      <c r="B799" s="572"/>
      <c r="C799" s="542" t="s">
        <v>16</v>
      </c>
      <c r="D799" s="701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20.25" customHeight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61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20.25" customHeight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20.25" hidden="1" customHeight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20.25" hidden="1" customHeight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20.25" hidden="1" customHeight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20.25" hidden="1" customHeight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70">L806+L807</f>
        <v>0</v>
      </c>
      <c r="M805" s="601">
        <f t="shared" si="370"/>
        <v>0</v>
      </c>
      <c r="N805" s="601">
        <f t="shared" si="370"/>
        <v>0</v>
      </c>
      <c r="O805" s="601">
        <f t="shared" ref="O805:O810" si="371">IF(L805&gt;0,N805*100/L805,0)</f>
        <v>0</v>
      </c>
      <c r="P805" s="601">
        <f t="shared" ref="P805:P810" si="372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20.25" hidden="1" customHeight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20.25" hidden="1" customHeight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20.25" hidden="1" customHeight="1">
      <c r="A808" s="564"/>
      <c r="B808" s="569"/>
      <c r="C808" s="565"/>
      <c r="D808" s="785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75">L809+L810</f>
        <v>0</v>
      </c>
      <c r="M808" s="601">
        <f t="shared" si="375"/>
        <v>0</v>
      </c>
      <c r="N808" s="601">
        <f t="shared" si="375"/>
        <v>0</v>
      </c>
      <c r="O808" s="601">
        <f t="shared" si="371"/>
        <v>0</v>
      </c>
      <c r="P808" s="601">
        <f t="shared" si="372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20.25" hidden="1" customHeight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71"/>
        <v>0</v>
      </c>
      <c r="P809" s="45">
        <f t="shared" si="372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20.25" hidden="1" customHeight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20.25" hidden="1" customHeight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20.25" hidden="1" customHeight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20.25" hidden="1" customHeight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20.25" hidden="1" customHeight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20.25" hidden="1" customHeight="1">
      <c r="A815" s="564"/>
      <c r="B815" s="569"/>
      <c r="C815" s="565"/>
      <c r="D815" s="785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76">L816+L817</f>
        <v>0</v>
      </c>
      <c r="M815" s="601">
        <f t="shared" si="376"/>
        <v>0</v>
      </c>
      <c r="N815" s="601">
        <f t="shared" si="376"/>
        <v>0</v>
      </c>
      <c r="O815" s="601">
        <f t="shared" ref="O815:O817" si="377">IF(L815&gt;0,N815*100/L815,0)</f>
        <v>0</v>
      </c>
      <c r="P815" s="601">
        <f t="shared" ref="P815:P817" si="378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20.25" hidden="1" customHeight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77"/>
        <v>0</v>
      </c>
      <c r="P816" s="45">
        <f t="shared" si="378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20.25" hidden="1" customHeight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77"/>
        <v>0</v>
      </c>
      <c r="P817" s="45">
        <f t="shared" si="378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20.25" hidden="1" customHeight="1">
      <c r="A818" s="577"/>
      <c r="B818" s="578"/>
      <c r="C818" s="565" t="s">
        <v>16</v>
      </c>
      <c r="D818" s="748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20.25" hidden="1" customHeigh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20.25" customHeight="1">
      <c r="A820" s="756" t="s">
        <v>325</v>
      </c>
      <c r="B820" s="757"/>
      <c r="C820" s="757"/>
      <c r="D820" s="758"/>
      <c r="E820" s="757"/>
      <c r="F820" s="757"/>
      <c r="G820" s="759"/>
      <c r="H820" s="760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181"/>
      <c r="J820" s="181"/>
      <c r="K820" s="270"/>
      <c r="L820" s="270"/>
      <c r="M820" s="270"/>
      <c r="N820" s="270"/>
      <c r="O820" s="270"/>
      <c r="P820" s="270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20.25" customHeight="1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20134601.86)</f>
        <v>20134601.859999999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15169566.26)</f>
        <v>15169566.26</v>
      </c>
      <c r="K821" s="38">
        <f t="shared" ref="K821:K828" ca="1" si="379">IF(I821&gt;0,J821*100/I821,0)</f>
        <v>75.340780838265857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20.25" customHeight="1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1500)</f>
        <v>1500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1194)</f>
        <v>1194</v>
      </c>
      <c r="K822" s="38">
        <f t="shared" ca="1" si="379"/>
        <v>79.599999999999994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20.25" customHeight="1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4144590.07999999)</f>
        <v>4144590.0799999898</v>
      </c>
      <c r="K823" s="38">
        <f t="shared" ca="1" si="379"/>
        <v>29.311739141570801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20.25" customHeight="1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574)</f>
        <v>574</v>
      </c>
      <c r="K824" s="38">
        <f t="shared" ca="1" si="379"/>
        <v>84.287812041116013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20.25" customHeight="1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439954.85)</f>
        <v>439954.85</v>
      </c>
      <c r="K825" s="38">
        <f t="shared" ca="1" si="379"/>
        <v>206.18327909766063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20.25" customHeight="1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327)</f>
        <v>327</v>
      </c>
      <c r="K826" s="38">
        <f t="shared" ca="1" si="379"/>
        <v>70.322580645161295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20.25" customHeight="1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12640000)</f>
        <v>12640000</v>
      </c>
      <c r="K827" s="38">
        <f t="shared" ca="1" si="379"/>
        <v>89.613612194257357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20.25" customHeight="1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365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387)</f>
        <v>387</v>
      </c>
      <c r="K828" s="475">
        <f t="shared" ca="1" si="379"/>
        <v>70.491803278688522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CAF15-7621-4DA1-9EE8-E21349D8C95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3" bestFit="1" customWidth="1"/>
    <col min="11" max="11" width="12.36328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346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2198108</v>
      </c>
      <c r="M8" s="22">
        <f t="shared" ca="1" si="0"/>
        <v>2386243.4500000002</v>
      </c>
      <c r="N8" s="22">
        <f t="shared" ca="1" si="0"/>
        <v>1888149.0199999998</v>
      </c>
      <c r="O8" s="22">
        <f t="shared" ref="O8:O16" ca="1" si="1">IF(L8&gt;0,N8*100/L8,0)</f>
        <v>85.898828447009876</v>
      </c>
      <c r="P8" s="22">
        <f t="shared" ref="P8:P16" ca="1" si="2">IF(M8&gt;0,N8*100/M8,0)</f>
        <v>79.12642023176636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2198108</v>
      </c>
      <c r="M10" s="30">
        <f t="shared" ca="1" si="3"/>
        <v>2386243.4500000002</v>
      </c>
      <c r="N10" s="30">
        <f t="shared" ca="1" si="3"/>
        <v>1888149.0199999998</v>
      </c>
      <c r="O10" s="30">
        <f t="shared" ca="1" si="1"/>
        <v>85.898828447009876</v>
      </c>
      <c r="P10" s="30">
        <f t="shared" ca="1" si="2"/>
        <v>79.12642023176636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2084308</v>
      </c>
      <c r="M11" s="38">
        <f t="shared" ca="1" si="4"/>
        <v>2272643.4500000002</v>
      </c>
      <c r="N11" s="38">
        <f t="shared" ca="1" si="4"/>
        <v>1774549.0199999998</v>
      </c>
      <c r="O11" s="38">
        <f t="shared" ca="1" si="1"/>
        <v>85.138521753982602</v>
      </c>
      <c r="P11" s="38">
        <f t="shared" ca="1" si="2"/>
        <v>78.083036738560978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2084308</v>
      </c>
      <c r="M13" s="45">
        <f t="shared" ca="1" si="5"/>
        <v>2272643.4500000002</v>
      </c>
      <c r="N13" s="45">
        <f t="shared" ca="1" si="5"/>
        <v>1774549.0199999998</v>
      </c>
      <c r="O13" s="45">
        <f t="shared" ca="1" si="1"/>
        <v>85.138521753982602</v>
      </c>
      <c r="P13" s="45">
        <f t="shared" ca="1" si="2"/>
        <v>78.083036738560978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113800</v>
      </c>
      <c r="M14" s="38">
        <f t="shared" ca="1" si="6"/>
        <v>113600</v>
      </c>
      <c r="N14" s="38">
        <f t="shared" ca="1" si="6"/>
        <v>113600</v>
      </c>
      <c r="O14" s="38">
        <f t="shared" ca="1" si="1"/>
        <v>99.824253075571178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2035360.45</v>
      </c>
      <c r="N18" s="22">
        <f t="shared" ca="1" si="8"/>
        <v>1565987.5199999998</v>
      </c>
      <c r="O18" s="22">
        <f t="shared" ref="O18:O26" ca="1" si="9">IF(L18&gt;0,N18*100/L18,0)</f>
        <v>84.775136759192833</v>
      </c>
      <c r="P18" s="22">
        <f t="shared" ref="P18:P26" ca="1" si="10">IF(M18&gt;0,N18*100/M18,0)</f>
        <v>76.939075828067686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2035360.45</v>
      </c>
      <c r="N20" s="30">
        <f t="shared" ca="1" si="11"/>
        <v>1565987.5199999998</v>
      </c>
      <c r="O20" s="30">
        <f t="shared" ca="1" si="9"/>
        <v>84.775136759192833</v>
      </c>
      <c r="P20" s="30">
        <f t="shared" ca="1" si="10"/>
        <v>76.939075828067686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1733425</v>
      </c>
      <c r="M21" s="38">
        <f t="shared" ca="1" si="12"/>
        <v>1921760.45</v>
      </c>
      <c r="N21" s="38">
        <f t="shared" ca="1" si="12"/>
        <v>1452387.5199999998</v>
      </c>
      <c r="O21" s="38">
        <f t="shared" ca="1" si="9"/>
        <v>83.78715664075456</v>
      </c>
      <c r="P21" s="38">
        <f t="shared" ca="1" si="10"/>
        <v>75.575887723155077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1733425</v>
      </c>
      <c r="M23" s="45">
        <f t="shared" ca="1" si="13"/>
        <v>1921760.45</v>
      </c>
      <c r="N23" s="45">
        <f t="shared" ca="1" si="13"/>
        <v>1452387.5199999998</v>
      </c>
      <c r="O23" s="45">
        <f t="shared" ca="1" si="9"/>
        <v>83.78715664075456</v>
      </c>
      <c r="P23" s="45">
        <f t="shared" ca="1" si="10"/>
        <v>75.575887723155077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113800</v>
      </c>
      <c r="M24" s="38">
        <f t="shared" ca="1" si="14"/>
        <v>113600</v>
      </c>
      <c r="N24" s="38">
        <f t="shared" ca="1" si="14"/>
        <v>113600</v>
      </c>
      <c r="O24" s="38">
        <f t="shared" ca="1" si="9"/>
        <v>99.824253075571178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350883</v>
      </c>
      <c r="M28" s="22">
        <f t="shared" ca="1" si="16"/>
        <v>350883</v>
      </c>
      <c r="N28" s="22">
        <f t="shared" si="16"/>
        <v>322161.5</v>
      </c>
      <c r="O28" s="22">
        <f t="shared" ref="O28:O37" ca="1" si="17">IF(L28&gt;0,N28*100/L28,0)</f>
        <v>91.8145079698931</v>
      </c>
      <c r="P28" s="22">
        <f t="shared" ref="P28:P37" ca="1" si="18">IF(M28&gt;0,N28*100/M28,0)</f>
        <v>91.8145079698931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350883</v>
      </c>
      <c r="M30" s="30">
        <f t="shared" ca="1" si="19"/>
        <v>350883</v>
      </c>
      <c r="N30" s="30">
        <f t="shared" si="19"/>
        <v>322161.5</v>
      </c>
      <c r="O30" s="30">
        <f t="shared" ca="1" si="17"/>
        <v>91.8145079698931</v>
      </c>
      <c r="P30" s="30">
        <f t="shared" ca="1" si="18"/>
        <v>91.8145079698931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350883</v>
      </c>
      <c r="M31" s="38">
        <f t="shared" ca="1" si="20"/>
        <v>350883</v>
      </c>
      <c r="N31" s="38">
        <f t="shared" si="20"/>
        <v>322161.5</v>
      </c>
      <c r="O31" s="38">
        <f t="shared" ca="1" si="17"/>
        <v>91.8145079698931</v>
      </c>
      <c r="P31" s="38">
        <f t="shared" ca="1" si="18"/>
        <v>91.8145079698931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350883</v>
      </c>
      <c r="M33" s="45">
        <f t="shared" ca="1" si="21"/>
        <v>350883</v>
      </c>
      <c r="N33" s="45">
        <f t="shared" si="21"/>
        <v>322161.5</v>
      </c>
      <c r="O33" s="45">
        <f t="shared" ca="1" si="17"/>
        <v>91.8145079698931</v>
      </c>
      <c r="P33" s="45">
        <f t="shared" ca="1" si="18"/>
        <v>91.8145079698931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1847225</v>
      </c>
      <c r="M37" s="792">
        <f t="shared" ca="1" si="24"/>
        <v>2035360.45</v>
      </c>
      <c r="N37" s="792">
        <f t="shared" ca="1" si="24"/>
        <v>1565987.5199999998</v>
      </c>
      <c r="O37" s="792">
        <f t="shared" ca="1" si="17"/>
        <v>84.775136759192833</v>
      </c>
      <c r="P37" s="792">
        <f t="shared" ca="1" si="18"/>
        <v>76.939075828067686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99945.45</v>
      </c>
      <c r="N41" s="85">
        <f t="shared" ca="1" si="25"/>
        <v>86794.45</v>
      </c>
      <c r="O41" s="85">
        <f t="shared" ref="O41:O49" ca="1" si="26">IF(L41&gt;0,N41*100/L41,0)</f>
        <v>45.513607760880966</v>
      </c>
      <c r="P41" s="85">
        <f t="shared" ref="P41:P49" ca="1" si="27">IF(M41&gt;0,N41*100/M41,0)</f>
        <v>86.841822214017753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99945.45</v>
      </c>
      <c r="N43" s="92">
        <f t="shared" ca="1" si="28"/>
        <v>86794.45</v>
      </c>
      <c r="O43" s="92">
        <f t="shared" ca="1" si="26"/>
        <v>45.513607760880966</v>
      </c>
      <c r="P43" s="92">
        <f t="shared" ca="1" si="27"/>
        <v>86.841822214017753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190700</v>
      </c>
      <c r="M44" s="38">
        <f t="shared" ca="1" si="29"/>
        <v>99945.45</v>
      </c>
      <c r="N44" s="38">
        <f t="shared" ca="1" si="29"/>
        <v>86794.45</v>
      </c>
      <c r="O44" s="38">
        <f t="shared" ca="1" si="26"/>
        <v>45.513607760880966</v>
      </c>
      <c r="P44" s="38">
        <f t="shared" ca="1" si="27"/>
        <v>86.841822214017753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IFERROR(__xludf.DUMMYFUNCTION("IMPORTRANGE(""https://docs.google.com/spreadsheets/d/1MeEWN-I1oV_STSDYn1IFDPWt_1FKiwhDph83XaGc0o0/edit?usp=sharing"",""งบพรบ!M83"")"),190700)</f>
        <v>190700</v>
      </c>
      <c r="M46" s="45">
        <f ca="1">IFERROR(__xludf.DUMMYFUNCTION("IMPORTRANGE(""https://docs.google.com/spreadsheets/d/1MeEWN-I1oV_STSDYn1IFDPWt_1FKiwhDph83XaGc0o0/edit?usp=sharing"",""งบพรบ!R83"")"),99945.45)</f>
        <v>99945.45</v>
      </c>
      <c r="N46" s="45">
        <f ca="1">IFERROR(__xludf.DUMMYFUNCTION("IMPORTRANGE(""https://docs.google.com/spreadsheets/d/1MeEWN-I1oV_STSDYn1IFDPWt_1FKiwhDph83XaGc0o0/edit?usp=sharing"",""งบพรบ!T83"")"),86794.45)</f>
        <v>86794.45</v>
      </c>
      <c r="O46" s="45">
        <f t="shared" ca="1" si="26"/>
        <v>45.513607760880966</v>
      </c>
      <c r="P46" s="45">
        <f t="shared" ca="1" si="27"/>
        <v>86.841822214017753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606700</v>
      </c>
      <c r="M53" s="115">
        <f t="shared" ca="1" si="31"/>
        <v>627200</v>
      </c>
      <c r="N53" s="115">
        <f t="shared" ca="1" si="31"/>
        <v>504427.99</v>
      </c>
      <c r="O53" s="115">
        <f t="shared" ref="O53:O61" ca="1" si="32">IF(L53&gt;0,N53*100/L53,0)</f>
        <v>83.142902587769896</v>
      </c>
      <c r="P53" s="115">
        <f t="shared" ref="P53:P61" ca="1" si="33">IF(M53&gt;0,N53*100/M53,0)</f>
        <v>80.425381058673466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606700</v>
      </c>
      <c r="M55" s="122">
        <f t="shared" ca="1" si="34"/>
        <v>627200</v>
      </c>
      <c r="N55" s="122">
        <f t="shared" ca="1" si="34"/>
        <v>504427.99</v>
      </c>
      <c r="O55" s="122">
        <f t="shared" ca="1" si="32"/>
        <v>83.142902587769896</v>
      </c>
      <c r="P55" s="122">
        <f t="shared" ca="1" si="33"/>
        <v>80.425381058673466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606700</v>
      </c>
      <c r="M56" s="38">
        <f t="shared" ca="1" si="35"/>
        <v>627200</v>
      </c>
      <c r="N56" s="38">
        <f t="shared" ca="1" si="35"/>
        <v>504427.99</v>
      </c>
      <c r="O56" s="38">
        <f t="shared" ca="1" si="32"/>
        <v>83.142902587769896</v>
      </c>
      <c r="P56" s="38">
        <f t="shared" ca="1" si="33"/>
        <v>80.425381058673466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IFERROR(__xludf.DUMMYFUNCTION("IMPORTRANGE(""https://docs.google.com/spreadsheets/d/1MeEWN-I1oV_STSDYn1IFDPWt_1FKiwhDph83XaGc0o0/edit?usp=sharing"",""งบพรบ!W83"")"),606700)</f>
        <v>606700</v>
      </c>
      <c r="M58" s="45">
        <f ca="1">IFERROR(__xludf.DUMMYFUNCTION("IMPORTRANGE(""https://docs.google.com/spreadsheets/d/1MeEWN-I1oV_STSDYn1IFDPWt_1FKiwhDph83XaGc0o0/edit?usp=sharing"",""งบพรบ!AB83"")"),627200)</f>
        <v>627200</v>
      </c>
      <c r="N58" s="45">
        <f ca="1">IFERROR(__xludf.DUMMYFUNCTION("IMPORTRANGE(""https://docs.google.com/spreadsheets/d/1MeEWN-I1oV_STSDYn1IFDPWt_1FKiwhDph83XaGc0o0/edit?usp=sharing"",""งบพรบ!AD83"")"),504427.99)</f>
        <v>504427.99</v>
      </c>
      <c r="O58" s="45">
        <f t="shared" ca="1" si="32"/>
        <v>83.142902587769896</v>
      </c>
      <c r="P58" s="45">
        <f t="shared" ca="1" si="33"/>
        <v>80.425381058673466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IFERROR(__xludf.DUMMYFUNCTION("IMPORTRANGE(""https://docs.google.com/spreadsheets/d/1MeEWN-I1oV_STSDYn1IFDPWt_1FKiwhDph83XaGc0o0/edit?usp=sharing"",""งบพรบ!AG83"")"),0)</f>
        <v>0</v>
      </c>
      <c r="M71" s="45">
        <f ca="1">IFERROR(__xludf.DUMMYFUNCTION("IMPORTRANGE(""https://docs.google.com/spreadsheets/d/1MeEWN-I1oV_STSDYn1IFDPWt_1FKiwhDph83XaGc0o0/edit?usp=sharing"",""งบพรบ!AL83"")"),0)</f>
        <v>0</v>
      </c>
      <c r="N71" s="45">
        <f ca="1">IFERROR(__xludf.DUMMYFUNCTION("IMPORTRANGE(""https://docs.google.com/spreadsheets/d/1MeEWN-I1oV_STSDYn1IFDPWt_1FKiwhDph83XaGc0o0/edit?usp=sharing"",""งบพรบ!AN83"")"),0)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IFERROR(__xludf.DUMMYFUNCTION("IMPORTRANGE(""https://docs.google.com/spreadsheets/d/1MeEWN-I1oV_STSDYn1IFDPWt_1FKiwhDph83XaGc0o0/edit?usp=sharing"",""งบพรบ!AJ83"")"),0)</f>
        <v>0</v>
      </c>
      <c r="M74" s="45">
        <f ca="1">IFERROR(__xludf.DUMMYFUNCTION("IMPORTRANGE(""https://docs.google.com/spreadsheets/d/1MeEWN-I1oV_STSDYn1IFDPWt_1FKiwhDph83XaGc0o0/edit?usp=sharing"",""งบพรบ!AM83"")"),0)</f>
        <v>0</v>
      </c>
      <c r="N74" s="45">
        <f ca="1">IFERROR(__xludf.DUMMYFUNCTION("IMPORTRANGE(""https://docs.google.com/spreadsheets/d/1MeEWN-I1oV_STSDYn1IFDPWt_1FKiwhDph83XaGc0o0/edit?usp=sharing"",""งบพรบ!AO83"")"),0)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IFERROR(__xludf.DUMMYFUNCTION("IMPORTRANGE(""https://docs.google.com/spreadsheets/d/1QqKyyYR6Q21VydFLVH3TRQUabQu_ym0Zz7PgGX0-kHA/edit?usp=sharing"",""แผน!H83"")"),0)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IFERROR(__xludf.DUMMYFUNCTION("IMPORTRANGE(""https://docs.google.com/spreadsheets/d/1QqKyyYR6Q21VydFLVH3TRQUabQu_ym0Zz7PgGX0-kHA/edit?usp=sharing"",""แผน!I83"")"),0)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IFERROR(__xludf.DUMMYFUNCTION("IMPORTRANGE(""https://docs.google.com/spreadsheets/d/1QqKyyYR6Q21VydFLVH3TRQUabQu_ym0Zz7PgGX0-kHA/edit?usp=sharing"",""แผน!F83"")"),0)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IFERROR(__xludf.DUMMYFUNCTION("IMPORTRANGE(""https://docs.google.com/spreadsheets/d/1QqKyyYR6Q21VydFLVH3TRQUabQu_ym0Zz7PgGX0-kHA/edit?usp=sharing"",""แผน!G83"")"),0)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IFERROR(__xludf.DUMMYFUNCTION("IMPORTRANGE(""https://docs.google.com/spreadsheets/d/1QqKyyYR6Q21VydFLVH3TRQUabQu_ym0Zz7PgGX0-kHA/edit?usp=sharing"",""แผน!D83"")"),0)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IFERROR(__xludf.DUMMYFUNCTION("IMPORTRANGE(""https://docs.google.com/spreadsheets/d/1QqKyyYR6Q21VydFLVH3TRQUabQu_ym0Zz7PgGX0-kHA/edit?usp=sharing"",""แผน!E83"")"),0)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IFERROR(__xludf.DUMMYFUNCTION("IMPORTRANGE(""https://docs.google.com/spreadsheets/d/1QqKyyYR6Q21VydFLVH3TRQUabQu_ym0Zz7PgGX0-kHA/edit?usp=sharing"",""แผน!J83"")"),0)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319000</v>
      </c>
      <c r="M88" s="154">
        <f t="shared" ca="1" si="49"/>
        <v>319000</v>
      </c>
      <c r="N88" s="154">
        <f t="shared" ca="1" si="49"/>
        <v>271797.15999999997</v>
      </c>
      <c r="O88" s="154">
        <f t="shared" ref="O88:O96" ca="1" si="50">IF(L88&gt;0,N88*100/L88,0)</f>
        <v>85.202871473354222</v>
      </c>
      <c r="P88" s="154">
        <f t="shared" ref="P88:P96" ca="1" si="51">IF(M88&gt;0,N88*100/M88,0)</f>
        <v>85.202871473354222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319000</v>
      </c>
      <c r="M90" s="45">
        <f t="shared" ca="1" si="52"/>
        <v>319000</v>
      </c>
      <c r="N90" s="45">
        <f t="shared" ca="1" si="52"/>
        <v>271797.15999999997</v>
      </c>
      <c r="O90" s="45">
        <f t="shared" ca="1" si="50"/>
        <v>85.202871473354222</v>
      </c>
      <c r="P90" s="45">
        <f t="shared" ca="1" si="51"/>
        <v>85.202871473354222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319000</v>
      </c>
      <c r="M91" s="38">
        <f t="shared" ca="1" si="53"/>
        <v>319000</v>
      </c>
      <c r="N91" s="38">
        <f t="shared" ca="1" si="53"/>
        <v>271797.15999999997</v>
      </c>
      <c r="O91" s="38">
        <f t="shared" ca="1" si="50"/>
        <v>85.202871473354222</v>
      </c>
      <c r="P91" s="38">
        <f t="shared" ca="1" si="51"/>
        <v>85.202871473354222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IFERROR(__xludf.DUMMYFUNCTION("IMPORTRANGE(""https://docs.google.com/spreadsheets/d/1MeEWN-I1oV_STSDYn1IFDPWt_1FKiwhDph83XaGc0o0/edit?usp=sharing"",""งบพรบ!AQ83"")"),319000)</f>
        <v>319000</v>
      </c>
      <c r="M93" s="45">
        <f ca="1">IFERROR(__xludf.DUMMYFUNCTION("IMPORTRANGE(""https://docs.google.com/spreadsheets/d/1MeEWN-I1oV_STSDYn1IFDPWt_1FKiwhDph83XaGc0o0/edit?usp=sharing"",""งบพรบ!AV83"")"),319000)</f>
        <v>319000</v>
      </c>
      <c r="N93" s="45">
        <f ca="1">IFERROR(__xludf.DUMMYFUNCTION("IMPORTRANGE(""https://docs.google.com/spreadsheets/d/1MeEWN-I1oV_STSDYn1IFDPWt_1FKiwhDph83XaGc0o0/edit?usp=sharing"",""งบพรบ!AX83"")"),271797.16)</f>
        <v>271797.15999999997</v>
      </c>
      <c r="O93" s="45">
        <f t="shared" ca="1" si="50"/>
        <v>85.202871473354222</v>
      </c>
      <c r="P93" s="45">
        <f t="shared" ca="1" si="51"/>
        <v>85.202871473354222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IFERROR(__xludf.DUMMYFUNCTION("IMPORTRANGE(""https://docs.google.com/spreadsheets/d/1MeEWN-I1oV_STSDYn1IFDPWt_1FKiwhDph83XaGc0o0/edit?usp=sharing"",""งบพรบ!AT83"")"),0)</f>
        <v>0</v>
      </c>
      <c r="M96" s="45">
        <f ca="1">IFERROR(__xludf.DUMMYFUNCTION("IMPORTRANGE(""https://docs.google.com/spreadsheets/d/1MeEWN-I1oV_STSDYn1IFDPWt_1FKiwhDph83XaGc0o0/edit?usp=sharing"",""งบพรบ!AW83"")"),0)</f>
        <v>0</v>
      </c>
      <c r="N96" s="45">
        <f ca="1">IFERROR(__xludf.DUMMYFUNCTION("IMPORTRANGE(""https://docs.google.com/spreadsheets/d/1MeEWN-I1oV_STSDYn1IFDPWt_1FKiwhDph83XaGc0o0/edit?usp=sharing"",""งบพรบ!AY83"")"),0)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IFERROR(__xludf.DUMMYFUNCTION("IMPORTRANGE(""https://docs.google.com/spreadsheets/d/1QqKyyYR6Q21VydFLVH3TRQUabQu_ym0Zz7PgGX0-kHA/edit?usp=sharing"",""แผน!K83"")"),0)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IFERROR(__xludf.DUMMYFUNCTION("IMPORTRANGE(""https://docs.google.com/spreadsheets/d/1QqKyyYR6Q21VydFLVH3TRQUabQu_ym0Zz7PgGX0-kHA/edit?usp=sharing"",""แผน!L83"")"),0)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IFERROR(__xludf.DUMMYFUNCTION("IMPORTRANGE(""https://docs.google.com/spreadsheets/d/1QqKyyYR6Q21VydFLVH3TRQUabQu_ym0Zz7PgGX0-kHA/edit?usp=sharing"",""แผน!M83"")"),1)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IFERROR(__xludf.DUMMYFUNCTION("IMPORTRANGE(""https://docs.google.com/spreadsheets/d/1QqKyyYR6Q21VydFLVH3TRQUabQu_ym0Zz7PgGX0-kHA/edit?usp=sharing"",""แผน!N83"")"),0)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IFERROR(__xludf.DUMMYFUNCTION("IMPORTRANGE(""https://docs.google.com/spreadsheets/d/1QqKyyYR6Q21VydFLVH3TRQUabQu_ym0Zz7PgGX0-kHA/edit?usp=sharing"",""แผน!O83"")"),0)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IFERROR(__xludf.DUMMYFUNCTION("IMPORTRANGE(""https://docs.google.com/spreadsheets/d/1QqKyyYR6Q21VydFLVH3TRQUabQu_ym0Zz7PgGX0-kHA/edit?usp=sharing"",""แผน!O83"")"),0)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IFERROR(__xludf.DUMMYFUNCTION("IMPORTRANGE(""https://docs.google.com/spreadsheets/d/1QqKyyYR6Q21VydFLVH3TRQUabQu_ym0Zz7PgGX0-kHA/edit?usp=sharing"",""แผน!P83"")"),0)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IFERROR(__xludf.DUMMYFUNCTION("IMPORTRANGE(""https://docs.google.com/spreadsheets/d/1QqKyyYR6Q21VydFLVH3TRQUabQu_ym0Zz7PgGX0-kHA/edit?usp=sharing"",""แผน!P83"")"),0)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IFERROR(__xludf.DUMMYFUNCTION("IMPORTRANGE(""https://docs.google.com/spreadsheets/d/1QqKyyYR6Q21VydFLVH3TRQUabQu_ym0Zz7PgGX0-kHA/edit?usp=sharing"",""แผน!Q83"")"),1)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IFERROR(__xludf.DUMMYFUNCTION("IMPORTRANGE(""https://docs.google.com/spreadsheets/d/1QqKyyYR6Q21VydFLVH3TRQUabQu_ym0Zz7PgGX0-kHA/edit?usp=sharing"",""แผน!Q83"")"),1)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IFERROR(__xludf.DUMMYFUNCTION("IMPORTRANGE(""https://docs.google.com/spreadsheets/d/1QqKyyYR6Q21VydFLVH3TRQUabQu_ym0Zz7PgGX0-kHA/edit?usp=sharing"",""แผน!R83"")"),0)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IFERROR(__xludf.DUMMYFUNCTION("IMPORTRANGE(""https://docs.google.com/spreadsheets/d/1QqKyyYR6Q21VydFLVH3TRQUabQu_ym0Zz7PgGX0-kHA/edit?usp=sharing"",""แผน!R83"")"),0)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IFERROR(__xludf.DUMMYFUNCTION("IMPORTRANGE(""https://docs.google.com/spreadsheets/d/1QqKyyYR6Q21VydFLVH3TRQUabQu_ym0Zz7PgGX0-kHA/edit?usp=sharing"",""แผน!R83"")"),0)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IFERROR(__xludf.DUMMYFUNCTION("IMPORTRANGE(""https://docs.google.com/spreadsheets/d/1QqKyyYR6Q21VydFLVH3TRQUabQu_ym0Zz7PgGX0-kHA/edit?usp=sharing"",""แผน!S83"")"),0)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IFERROR(__xludf.DUMMYFUNCTION("IMPORTRANGE(""https://docs.google.com/spreadsheets/d/1QqKyyYR6Q21VydFLVH3TRQUabQu_ym0Zz7PgGX0-kHA/edit?usp=sharing"",""แผน!T83"")"),1)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IFERROR(__xludf.DUMMYFUNCTION("IMPORTRANGE(""https://docs.google.com/spreadsheets/d/1MeEWN-I1oV_STSDYn1IFDPWt_1FKiwhDph83XaGc0o0/edit?usp=sharing"",""งบพรบ!BA83"")"),0)</f>
        <v>0</v>
      </c>
      <c r="M124" s="45">
        <f ca="1">IFERROR(__xludf.DUMMYFUNCTION("IMPORTRANGE(""https://docs.google.com/spreadsheets/d/1MeEWN-I1oV_STSDYn1IFDPWt_1FKiwhDph83XaGc0o0/edit?usp=sharing"",""งบพรบ!BF83"")"),0)</f>
        <v>0</v>
      </c>
      <c r="N124" s="45">
        <f ca="1">IFERROR(__xludf.DUMMYFUNCTION("IMPORTRANGE(""https://docs.google.com/spreadsheets/d/1MeEWN-I1oV_STSDYn1IFDPWt_1FKiwhDph83XaGc0o0/edit?usp=sharing"",""งบพรบ!BH83"")"),0)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IFERROR(__xludf.DUMMYFUNCTION("IMPORTRANGE(""https://docs.google.com/spreadsheets/d/1MeEWN-I1oV_STSDYn1IFDPWt_1FKiwhDph83XaGc0o0/edit?usp=sharing"",""งบพรบ!BD83"")"),0)</f>
        <v>0</v>
      </c>
      <c r="M127" s="45">
        <f ca="1">IFERROR(__xludf.DUMMYFUNCTION("IMPORTRANGE(""https://docs.google.com/spreadsheets/d/1MeEWN-I1oV_STSDYn1IFDPWt_1FKiwhDph83XaGc0o0/edit?usp=sharing"",""งบพรบ!BG83"")"),0)</f>
        <v>0</v>
      </c>
      <c r="N127" s="45">
        <f ca="1">IFERROR(__xludf.DUMMYFUNCTION("IMPORTRANGE(""https://docs.google.com/spreadsheets/d/1MeEWN-I1oV_STSDYn1IFDPWt_1FKiwhDph83XaGc0o0/edit?usp=sharing"",""งบพรบ!BI83"")"),0)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IFERROR(__xludf.DUMMYFUNCTION("IMPORTRANGE(""https://docs.google.com/spreadsheets/d/1MeEWN-I1oV_STSDYn1IFDPWt_1FKiwhDph83XaGc0o0/edit?usp=sharing"",""งบพรบ!BK83"")"),0)</f>
        <v>0</v>
      </c>
      <c r="M137" s="45">
        <f ca="1">IFERROR(__xludf.DUMMYFUNCTION("IMPORTRANGE(""https://docs.google.com/spreadsheets/d/1MeEWN-I1oV_STSDYn1IFDPWt_1FKiwhDph83XaGc0o0/edit?usp=sharing"",""งบพรบ!BP83"")"),0)</f>
        <v>0</v>
      </c>
      <c r="N137" s="45">
        <f ca="1">IFERROR(__xludf.DUMMYFUNCTION("IMPORTRANGE(""https://docs.google.com/spreadsheets/d/1MeEWN-I1oV_STSDYn1IFDPWt_1FKiwhDph83XaGc0o0/edit?usp=sharing"",""งบพรบ!BR83"")"),0)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IFERROR(__xludf.DUMMYFUNCTION("IMPORTRANGE(""https://docs.google.com/spreadsheets/d/1MeEWN-I1oV_STSDYn1IFDPWt_1FKiwhDph83XaGc0o0/edit?usp=sharing"",""งบพรบ!BN83"")"),0)</f>
        <v>0</v>
      </c>
      <c r="M140" s="45">
        <f ca="1">IFERROR(__xludf.DUMMYFUNCTION("IMPORTRANGE(""https://docs.google.com/spreadsheets/d/1MeEWN-I1oV_STSDYn1IFDPWt_1FKiwhDph83XaGc0o0/edit?usp=sharing"",""งบพรบ!BQ83"")"),0)</f>
        <v>0</v>
      </c>
      <c r="N140" s="45">
        <f ca="1">IFERROR(__xludf.DUMMYFUNCTION("IMPORTRANGE(""https://docs.google.com/spreadsheets/d/1MeEWN-I1oV_STSDYn1IFDPWt_1FKiwhDph83XaGc0o0/edit?usp=sharing"",""งบพรบ!BS83"")"),0)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IFERROR(__xludf.DUMMYFUNCTION("IMPORTRANGE(""https://docs.google.com/spreadsheets/d/1QqKyyYR6Q21VydFLVH3TRQUabQu_ym0Zz7PgGX0-kHA/edit?usp=sharing"",""แผน!U83"")"),0)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IFERROR(__xludf.DUMMYFUNCTION("IMPORTRANGE(""https://docs.google.com/spreadsheets/d/1QqKyyYR6Q21VydFLVH3TRQUabQu_ym0Zz7PgGX0-kHA/edit?usp=sharing"",""แผน!V83"")"),0)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IFERROR(__xludf.DUMMYFUNCTION("IMPORTRANGE(""https://docs.google.com/spreadsheets/d/1QqKyyYR6Q21VydFLVH3TRQUabQu_ym0Zz7PgGX0-kHA/edit?usp=sharing"",""แผน!W83"")"),0)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IFERROR(__xludf.DUMMYFUNCTION("IMPORTRANGE(""https://docs.google.com/spreadsheets/d/1MeEWN-I1oV_STSDYn1IFDPWt_1FKiwhDph83XaGc0o0/edit?usp=sharing"",""งบพรบ!BU83"")"),0)</f>
        <v>0</v>
      </c>
      <c r="M154" s="45">
        <f ca="1">IFERROR(__xludf.DUMMYFUNCTION("IMPORTRANGE(""https://docs.google.com/spreadsheets/d/1MeEWN-I1oV_STSDYn1IFDPWt_1FKiwhDph83XaGc0o0/edit?usp=sharing"",""งบพรบ!BZ83"")"),0)</f>
        <v>0</v>
      </c>
      <c r="N154" s="45">
        <f ca="1">IFERROR(__xludf.DUMMYFUNCTION("IMPORTRANGE(""https://docs.google.com/spreadsheets/d/1MeEWN-I1oV_STSDYn1IFDPWt_1FKiwhDph83XaGc0o0/edit?usp=sharing"",""งบพรบ!CB83"")"),0)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IFERROR(__xludf.DUMMYFUNCTION("IMPORTRANGE(""https://docs.google.com/spreadsheets/d/1MeEWN-I1oV_STSDYn1IFDPWt_1FKiwhDph83XaGc0o0/edit?usp=sharing"",""งบพรบ!BX83"")"),0)</f>
        <v>0</v>
      </c>
      <c r="M157" s="45">
        <f ca="1">IFERROR(__xludf.DUMMYFUNCTION("IMPORTRANGE(""https://docs.google.com/spreadsheets/d/1MeEWN-I1oV_STSDYn1IFDPWt_1FKiwhDph83XaGc0o0/edit?usp=sharing"",""งบพรบ!CA83"")"),0)</f>
        <v>0</v>
      </c>
      <c r="N157" s="45">
        <f ca="1">IFERROR(__xludf.DUMMYFUNCTION("IMPORTRANGE(""https://docs.google.com/spreadsheets/d/1MeEWN-I1oV_STSDYn1IFDPWt_1FKiwhDph83XaGc0o0/edit?usp=sharing"",""งบพรบ!CC83"")"),0)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IFERROR(__xludf.DUMMYFUNCTION("IMPORTRANGE(""https://docs.google.com/spreadsheets/d/1QqKyyYR6Q21VydFLVH3TRQUabQu_ym0Zz7PgGX0-kHA/edit?usp=sharing"",""แผน!X83"")"),0)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13</v>
      </c>
      <c r="J164" s="242">
        <f t="shared" si="83"/>
        <v>13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24065</v>
      </c>
      <c r="M165" s="154">
        <f t="shared" ca="1" si="84"/>
        <v>41535</v>
      </c>
      <c r="N165" s="154">
        <f t="shared" ca="1" si="84"/>
        <v>41535</v>
      </c>
      <c r="O165" s="154">
        <f t="shared" ref="O165:O173" ca="1" si="85">IF(L165&gt;0,N165*100/L165,0)</f>
        <v>172.59505505921462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24065</v>
      </c>
      <c r="M167" s="45">
        <f t="shared" ca="1" si="87"/>
        <v>41535</v>
      </c>
      <c r="N167" s="45">
        <f t="shared" ca="1" si="87"/>
        <v>41535</v>
      </c>
      <c r="O167" s="45">
        <f t="shared" ca="1" si="85"/>
        <v>172.59505505921462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24065</v>
      </c>
      <c r="M168" s="38">
        <f t="shared" ca="1" si="88"/>
        <v>41535</v>
      </c>
      <c r="N168" s="38">
        <f t="shared" ca="1" si="88"/>
        <v>41535</v>
      </c>
      <c r="O168" s="38">
        <f t="shared" ca="1" si="85"/>
        <v>172.59505505921462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IFERROR(__xludf.DUMMYFUNCTION("IMPORTRANGE(""https://docs.google.com/spreadsheets/d/1MeEWN-I1oV_STSDYn1IFDPWt_1FKiwhDph83XaGc0o0/edit?usp=sharing"",""งบพรบ!CE83"")"),24065)</f>
        <v>24065</v>
      </c>
      <c r="M170" s="45">
        <f ca="1">IFERROR(__xludf.DUMMYFUNCTION("IMPORTRANGE(""https://docs.google.com/spreadsheets/d/1MeEWN-I1oV_STSDYn1IFDPWt_1FKiwhDph83XaGc0o0/edit?usp=sharing"",""งบพรบ!CJ83"")"),41535)</f>
        <v>41535</v>
      </c>
      <c r="N170" s="45">
        <f ca="1">IFERROR(__xludf.DUMMYFUNCTION("IMPORTRANGE(""https://docs.google.com/spreadsheets/d/1MeEWN-I1oV_STSDYn1IFDPWt_1FKiwhDph83XaGc0o0/edit?usp=sharing"",""งบพรบ!CL83"")"),41535)</f>
        <v>41535</v>
      </c>
      <c r="O170" s="45">
        <f t="shared" ca="1" si="85"/>
        <v>172.59505505921462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IFERROR(__xludf.DUMMYFUNCTION("IMPORTRANGE(""https://docs.google.com/spreadsheets/d/1MeEWN-I1oV_STSDYn1IFDPWt_1FKiwhDph83XaGc0o0/edit?usp=sharing"",""งบพรบ!CH83"")"),0)</f>
        <v>0</v>
      </c>
      <c r="M173" s="45">
        <f ca="1">IFERROR(__xludf.DUMMYFUNCTION("IMPORTRANGE(""https://docs.google.com/spreadsheets/d/1MeEWN-I1oV_STSDYn1IFDPWt_1FKiwhDph83XaGc0o0/edit?usp=sharing"",""งบพรบ!CK83"")"),0)</f>
        <v>0</v>
      </c>
      <c r="N173" s="45">
        <f ca="1">IFERROR(__xludf.DUMMYFUNCTION("IMPORTRANGE(""https://docs.google.com/spreadsheets/d/1MeEWN-I1oV_STSDYn1IFDPWt_1FKiwhDph83XaGc0o0/edit?usp=sharing"",""งบพรบ!CM83"")"),0)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13</v>
      </c>
      <c r="J174" s="250">
        <f t="shared" si="90"/>
        <v>13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IFERROR(__xludf.DUMMYFUNCTION("IMPORTRANGE(""https://docs.google.com/spreadsheets/d/1QqKyyYR6Q21VydFLVH3TRQUabQu_ym0Zz7PgGX0-kHA/edit?usp=sharing"",""แผน!Y83"")"),13)</f>
        <v>13</v>
      </c>
      <c r="J176" s="181">
        <v>13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6000</v>
      </c>
      <c r="M181" s="154">
        <f t="shared" ca="1" si="92"/>
        <v>6000</v>
      </c>
      <c r="N181" s="154">
        <f t="shared" ca="1" si="92"/>
        <v>3991</v>
      </c>
      <c r="O181" s="154">
        <f t="shared" ref="O181:O189" ca="1" si="93">IF(L181&gt;0,N181*100/L181,0)</f>
        <v>66.516666666666666</v>
      </c>
      <c r="P181" s="154">
        <f t="shared" ref="P181:P189" ca="1" si="94">IF(M181&gt;0,N181*100/M181,0)</f>
        <v>66.516666666666666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6000</v>
      </c>
      <c r="M183" s="45">
        <f t="shared" ca="1" si="95"/>
        <v>6000</v>
      </c>
      <c r="N183" s="45">
        <f t="shared" ca="1" si="95"/>
        <v>3991</v>
      </c>
      <c r="O183" s="45">
        <f t="shared" ca="1" si="93"/>
        <v>66.516666666666666</v>
      </c>
      <c r="P183" s="45">
        <f t="shared" ca="1" si="94"/>
        <v>66.516666666666666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6000</v>
      </c>
      <c r="M184" s="38">
        <f t="shared" ca="1" si="96"/>
        <v>6000</v>
      </c>
      <c r="N184" s="38">
        <f t="shared" ca="1" si="96"/>
        <v>3991</v>
      </c>
      <c r="O184" s="38">
        <f t="shared" ca="1" si="93"/>
        <v>66.516666666666666</v>
      </c>
      <c r="P184" s="38">
        <f t="shared" ca="1" si="94"/>
        <v>66.516666666666666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IFERROR(__xludf.DUMMYFUNCTION("IMPORTRANGE(""https://docs.google.com/spreadsheets/d/1MeEWN-I1oV_STSDYn1IFDPWt_1FKiwhDph83XaGc0o0/edit?usp=sharing"",""งบพรบ!CO83"")"),6000)</f>
        <v>6000</v>
      </c>
      <c r="M186" s="45">
        <f ca="1">IFERROR(__xludf.DUMMYFUNCTION("IMPORTRANGE(""https://docs.google.com/spreadsheets/d/1MeEWN-I1oV_STSDYn1IFDPWt_1FKiwhDph83XaGc0o0/edit?usp=sharing"",""งบพรบ!CT83"")"),6000)</f>
        <v>6000</v>
      </c>
      <c r="N186" s="45">
        <f ca="1">IFERROR(__xludf.DUMMYFUNCTION("IMPORTRANGE(""https://docs.google.com/spreadsheets/d/1MeEWN-I1oV_STSDYn1IFDPWt_1FKiwhDph83XaGc0o0/edit?usp=sharing"",""งบพรบ!CV83"")"),3991)</f>
        <v>3991</v>
      </c>
      <c r="O186" s="45">
        <f t="shared" ca="1" si="93"/>
        <v>66.516666666666666</v>
      </c>
      <c r="P186" s="45">
        <f t="shared" ca="1" si="94"/>
        <v>66.516666666666666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IFERROR(__xludf.DUMMYFUNCTION("IMPORTRANGE(""https://docs.google.com/spreadsheets/d/1MeEWN-I1oV_STSDYn1IFDPWt_1FKiwhDph83XaGc0o0/edit?usp=sharing"",""งบพรบ!CR83"")"),0)</f>
        <v>0</v>
      </c>
      <c r="M189" s="45">
        <f ca="1">IFERROR(__xludf.DUMMYFUNCTION("IMPORTRANGE(""https://docs.google.com/spreadsheets/d/1MeEWN-I1oV_STSDYn1IFDPWt_1FKiwhDph83XaGc0o0/edit?usp=sharing"",""งบพรบ!CU83"")"),0)</f>
        <v>0</v>
      </c>
      <c r="N189" s="45">
        <f ca="1">IFERROR(__xludf.DUMMYFUNCTION("IMPORTRANGE(""https://docs.google.com/spreadsheets/d/1MeEWN-I1oV_STSDYn1IFDPWt_1FKiwhDph83XaGc0o0/edit?usp=sharing"",""งบพรบ!CW83"")"),0)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IFERROR(__xludf.DUMMYFUNCTION("IMPORTRANGE(""https://docs.google.com/spreadsheets/d/1QqKyyYR6Q21VydFLVH3TRQUabQu_ym0Zz7PgGX0-kHA/edit?usp=sharing"",""แผน!Z83"")"),6000)</f>
        <v>6000</v>
      </c>
      <c r="M191" s="154"/>
      <c r="N191" s="264">
        <v>3991</v>
      </c>
      <c r="O191" s="154">
        <f ca="1">IF(L191&gt;0,N191*100/L191,0)</f>
        <v>66.516666666666666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IFERROR(__xludf.DUMMYFUNCTION("IMPORTRANGE(""https://docs.google.com/spreadsheets/d/1QqKyyYR6Q21VydFLVH3TRQUabQu_ym0Zz7PgGX0-kHA/edit?usp=sharing"",""แผน!AC83"")"),4)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129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129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 hidden="1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0</v>
      </c>
      <c r="J197" s="260">
        <f t="shared" si="99"/>
        <v>0</v>
      </c>
      <c r="K197" s="261">
        <f ca="1">IF(I197&gt;0,J197*100/I197,0)</f>
        <v>0</v>
      </c>
      <c r="L197" s="251"/>
      <c r="M197" s="251"/>
      <c r="N197" s="251"/>
      <c r="O197" s="251"/>
      <c r="P197" s="251"/>
    </row>
    <row r="198" spans="1:26" ht="19" hidden="1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 hidden="1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IFERROR(__xludf.DUMMYFUNCTION("IMPORTRANGE(""https://docs.google.com/spreadsheets/d/1QqKyyYR6Q21VydFLVH3TRQUabQu_ym0Zz7PgGX0-kHA/edit?usp=sharing"",""แผน!AE83"")"),0)</f>
        <v>0</v>
      </c>
      <c r="M199" s="38"/>
      <c r="N199" s="270"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 hidden="1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IFERROR(__xludf.DUMMYFUNCTION("IMPORTRANGE(""https://docs.google.com/spreadsheets/d/1QqKyyYR6Q21VydFLVH3TRQUabQu_ym0Zz7PgGX0-kHA/edit?usp=sharing"",""แผน!AF83"")"),0)</f>
        <v>0</v>
      </c>
      <c r="M200" s="38"/>
      <c r="N200" s="270">
        <v>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 hidden="1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IFERROR(__xludf.DUMMYFUNCTION("IMPORTRANGE(""https://docs.google.com/spreadsheets/d/1QqKyyYR6Q21VydFLVH3TRQUabQu_ym0Zz7PgGX0-kHA/edit?usp=sharing"",""แผน!AG83"")"),0)</f>
        <v>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 hidden="1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IFERROR(__xludf.DUMMYFUNCTION("IMPORTRANGE(""https://docs.google.com/spreadsheets/d/1QqKyyYR6Q21VydFLVH3TRQUabQu_ym0Zz7PgGX0-kHA/edit?usp=sharing"",""แผน!AH83"")"),0)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 hidden="1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 hidden="1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IFERROR(__xludf.DUMMYFUNCTION("IMPORTRANGE(""https://docs.google.com/spreadsheets/d/1QqKyyYR6Q21VydFLVH3TRQUabQu_ym0Zz7PgGX0-kHA/edit?usp=sharing"",""แผน!AI83"")"),0)</f>
        <v>0</v>
      </c>
      <c r="J204" s="181">
        <v>0</v>
      </c>
      <c r="K204" s="162">
        <f ca="1">IF(I204&gt;0,J204*100/I204,0)</f>
        <v>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 hidden="1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 hidden="1">
      <c r="A206" s="169"/>
      <c r="B206" s="170"/>
      <c r="C206" s="170"/>
      <c r="D206" s="177"/>
      <c r="E206" s="176" t="s">
        <v>347</v>
      </c>
      <c r="F206" s="177"/>
      <c r="G206" s="178"/>
      <c r="H206" s="174" t="s">
        <v>96</v>
      </c>
      <c r="I206" s="37"/>
      <c r="J206" s="181">
        <v>0</v>
      </c>
      <c r="K206" s="162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 hidden="1">
      <c r="A207" s="169"/>
      <c r="B207" s="170"/>
      <c r="C207" s="170"/>
      <c r="D207" s="176"/>
      <c r="E207" s="176" t="s">
        <v>348</v>
      </c>
      <c r="F207" s="177"/>
      <c r="G207" s="178"/>
      <c r="H207" s="180" t="s">
        <v>66</v>
      </c>
      <c r="I207" s="37"/>
      <c r="J207" s="181">
        <v>0</v>
      </c>
      <c r="K207" s="162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0">I215</f>
        <v>0</v>
      </c>
      <c r="J208" s="260">
        <f t="shared" si="100"/>
        <v>0</v>
      </c>
      <c r="K208" s="261">
        <f ca="1">IF(I208&gt;0,J208*100/I208,0)</f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IFERROR(__xludf.DUMMYFUNCTION("IMPORTRANGE(""https://docs.google.com/spreadsheets/d/1QqKyyYR6Q21VydFLVH3TRQUabQu_ym0Zz7PgGX0-kHA/edit?usp=sharing"",""แผน!AK83"")"),0)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IFERROR(__xludf.DUMMYFUNCTION("IMPORTRANGE(""https://docs.google.com/spreadsheets/d/1QqKyyYR6Q21VydFLVH3TRQUabQu_ym0Zz7PgGX0-kHA/edit?usp=sharing"",""แผน!AL83"")"),0)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IFERROR(__xludf.DUMMYFUNCTION("IMPORTRANGE(""https://docs.google.com/spreadsheets/d/1QqKyyYR6Q21VydFLVH3TRQUabQu_ym0Zz7PgGX0-kHA/edit?usp=sharing"",""แผน!AM83"")"),0)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IFERROR(__xludf.DUMMYFUNCTION("IMPORTRANGE(""https://docs.google.com/spreadsheets/d/1QqKyyYR6Q21VydFLVH3TRQUabQu_ym0Zz7PgGX0-kHA/edit?usp=sharing"",""แผน!AN83"")"),0)</f>
        <v>0</v>
      </c>
      <c r="J214" s="181">
        <v>0</v>
      </c>
      <c r="K214" s="38">
        <f t="shared" ref="K214:K216" ca="1" si="101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IFERROR(__xludf.DUMMYFUNCTION("IMPORTRANGE(""https://docs.google.com/spreadsheets/d/1QqKyyYR6Q21VydFLVH3TRQUabQu_ym0Zz7PgGX0-kHA/edit?usp=sharing"",""แผน!AN83"")"),0)</f>
        <v>0</v>
      </c>
      <c r="J215" s="181">
        <v>0</v>
      </c>
      <c r="K215" s="38">
        <f t="shared" ca="1" si="101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 hidden="1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2">I224</f>
        <v>0</v>
      </c>
      <c r="J216" s="260">
        <f t="shared" si="102"/>
        <v>0</v>
      </c>
      <c r="K216" s="261">
        <f t="shared" ca="1" si="101"/>
        <v>0</v>
      </c>
      <c r="L216" s="251"/>
      <c r="M216" s="251"/>
      <c r="N216" s="251"/>
      <c r="O216" s="251"/>
      <c r="P216" s="251"/>
    </row>
    <row r="217" spans="1:26" ht="19" hidden="1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 hidden="1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IFERROR(__xludf.DUMMYFUNCTION("IMPORTRANGE(""https://docs.google.com/spreadsheets/d/1QqKyyYR6Q21VydFLVH3TRQUabQu_ym0Zz7PgGX0-kHA/edit?usp=sharing"",""แผน!AP83"")"),0)</f>
        <v>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 hidden="1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IFERROR(__xludf.DUMMYFUNCTION("IMPORTRANGE(""https://docs.google.com/spreadsheets/d/1QqKyyYR6Q21VydFLVH3TRQUabQu_ym0Zz7PgGX0-kHA/edit?usp=sharing"",""แผน!AQ83"")"),0)</f>
        <v>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 hidden="1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IFERROR(__xludf.DUMMYFUNCTION("IMPORTRANGE(""https://docs.google.com/spreadsheets/d/1QqKyyYR6Q21VydFLVH3TRQUabQu_ym0Zz7PgGX0-kHA/edit?usp=sharing"",""แผน!AR83"")"),0)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 hidden="1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 hidden="1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 hidden="1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IFERROR(__xludf.DUMMYFUNCTION("IMPORTRANGE(""https://docs.google.com/spreadsheets/d/1QqKyyYR6Q21VydFLVH3TRQUabQu_ym0Zz7PgGX0-kHA/edit?usp=sharing"",""แผน!AT83"")"),0)</f>
        <v>0</v>
      </c>
      <c r="J223" s="181">
        <v>0</v>
      </c>
      <c r="K223" s="162">
        <f t="shared" ref="K223:K226" ca="1" si="103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 hidden="1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IFERROR(__xludf.DUMMYFUNCTION("IMPORTRANGE(""https://docs.google.com/spreadsheets/d/1QqKyyYR6Q21VydFLVH3TRQUabQu_ym0Zz7PgGX0-kHA/edit?usp=sharing"",""แผน!AT83"")"),0)</f>
        <v>0</v>
      </c>
      <c r="J224" s="181">
        <v>0</v>
      </c>
      <c r="K224" s="162">
        <f t="shared" ca="1" si="103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 hidden="1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IFERROR(__xludf.DUMMYFUNCTION("IMPORTRANGE(""https://docs.google.com/spreadsheets/d/1QqKyyYR6Q21VydFLVH3TRQUabQu_ym0Zz7PgGX0-kHA/edit?usp=sharing"",""แผน!AS83"")"),0)</f>
        <v>0</v>
      </c>
      <c r="J225" s="181">
        <v>0</v>
      </c>
      <c r="K225" s="162">
        <f t="shared" ca="1" si="103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4">I237+I248</f>
        <v>0</v>
      </c>
      <c r="J226" s="330">
        <f t="shared" si="104"/>
        <v>0</v>
      </c>
      <c r="K226" s="331">
        <f t="shared" ca="1" si="103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5">L238+L249</f>
        <v>0</v>
      </c>
      <c r="M227" s="341"/>
      <c r="N227" s="341">
        <f t="shared" ref="N227:N231" si="106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5"/>
        <v>0</v>
      </c>
      <c r="M228" s="45"/>
      <c r="N228" s="45">
        <f t="shared" si="106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5"/>
        <v>0</v>
      </c>
      <c r="M229" s="45"/>
      <c r="N229" s="45">
        <f t="shared" si="106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5"/>
        <v>0</v>
      </c>
      <c r="M230" s="45"/>
      <c r="N230" s="45">
        <f t="shared" si="106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5"/>
        <v>0</v>
      </c>
      <c r="M231" s="45"/>
      <c r="N231" s="45">
        <f t="shared" si="106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7">I244+I255</f>
        <v>0</v>
      </c>
      <c r="J233" s="44">
        <f t="shared" si="107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8">I246+I257</f>
        <v>0</v>
      </c>
      <c r="J235" s="44">
        <f t="shared" si="108"/>
        <v>0</v>
      </c>
      <c r="K235" s="45">
        <f t="shared" ref="K235:K237" si="109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8"/>
        <v>0</v>
      </c>
      <c r="J236" s="44">
        <f t="shared" si="108"/>
        <v>0</v>
      </c>
      <c r="K236" s="45">
        <f t="shared" si="109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0">I244</f>
        <v>0</v>
      </c>
      <c r="J237" s="260">
        <f t="shared" si="110"/>
        <v>0</v>
      </c>
      <c r="K237" s="261">
        <f t="shared" ca="1" si="109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IFERROR(__xludf.DUMMYFUNCTION("IMPORTRANGE(""https://docs.google.com/spreadsheets/d/1QqKyyYR6Q21VydFLVH3TRQUabQu_ym0Zz7PgGX0-kHA/edit?usp=sharing"",""แผน!AV83"")"),0)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IFERROR(__xludf.DUMMYFUNCTION("IMPORTRANGE(""https://docs.google.com/spreadsheets/d/1QqKyyYR6Q21VydFLVH3TRQUabQu_ym0Zz7PgGX0-kHA/edit?usp=sharing"",""แผน!AW83"")"),0)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IFERROR(__xludf.DUMMYFUNCTION("IMPORTRANGE(""https://docs.google.com/spreadsheets/d/1QqKyyYR6Q21VydFLVH3TRQUabQu_ym0Zz7PgGX0-kHA/edit?usp=sharing"",""แผน!AX83"")"),0)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IFERROR(__xludf.DUMMYFUNCTION("IMPORTRANGE(""https://docs.google.com/spreadsheets/d/1QqKyyYR6Q21VydFLVH3TRQUabQu_ym0Zz7PgGX0-kHA/edit?usp=sharing"",""แผน!AY83"")"),0)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IFERROR(__xludf.DUMMYFUNCTION("IMPORTRANGE(""https://docs.google.com/spreadsheets/d/1QqKyyYR6Q21VydFLVH3TRQUabQu_ym0Zz7PgGX0-kHA/edit?usp=sharing"",""แผน!BE83"")"),0)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1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1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2">I255</f>
        <v>0</v>
      </c>
      <c r="J248" s="260">
        <f t="shared" si="112"/>
        <v>0</v>
      </c>
      <c r="K248" s="261">
        <f t="shared" ca="1" si="111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IFERROR(__xludf.DUMMYFUNCTION("IMPORTRANGE(""https://docs.google.com/spreadsheets/d/1QqKyyYR6Q21VydFLVH3TRQUabQu_ym0Zz7PgGX0-kHA/edit?usp=sharing"",""แผน!AZ83"")"),0)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IFERROR(__xludf.DUMMYFUNCTION("IMPORTRANGE(""https://docs.google.com/spreadsheets/d/1QqKyyYR6Q21VydFLVH3TRQUabQu_ym0Zz7PgGX0-kHA/edit?usp=sharing"",""แผน!BA83"")"),0)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IFERROR(__xludf.DUMMYFUNCTION("IMPORTRANGE(""https://docs.google.com/spreadsheets/d/1QqKyyYR6Q21VydFLVH3TRQUabQu_ym0Zz7PgGX0-kHA/edit?usp=sharing"",""แผน!BB83"")"),0)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IFERROR(__xludf.DUMMYFUNCTION("IMPORTRANGE(""https://docs.google.com/spreadsheets/d/1QqKyyYR6Q21VydFLVH3TRQUabQu_ym0Zz7PgGX0-kHA/edit?usp=sharing"",""แผน!BC83"")"),0)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IFERROR(__xludf.DUMMYFUNCTION("IMPORTRANGE(""https://docs.google.com/spreadsheets/d/1QqKyyYR6Q21VydFLVH3TRQUabQu_ym0Zz7PgGX0-kHA/edit?usp=sharing"",""แผน!BF83"")"),0)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3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3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4">I271</f>
        <v>20</v>
      </c>
      <c r="J260" s="242">
        <f t="shared" si="114"/>
        <v>0</v>
      </c>
      <c r="K260" s="243">
        <f ca="1">IF(I260&gt;0,J260*100/I260,0)</f>
        <v>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5">L262+L263</f>
        <v>25000</v>
      </c>
      <c r="M261" s="154">
        <f t="shared" ca="1" si="115"/>
        <v>25000</v>
      </c>
      <c r="N261" s="154">
        <f t="shared" ca="1" si="115"/>
        <v>720</v>
      </c>
      <c r="O261" s="154">
        <f t="shared" ref="O261:O269" ca="1" si="116">IF(L261&gt;0,N261*100/L261,0)</f>
        <v>2.88</v>
      </c>
      <c r="P261" s="154">
        <f t="shared" ref="P261:P269" ca="1" si="117">IF(M261&gt;0,N261*100/M261,0)</f>
        <v>2.88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8">L265+L268</f>
        <v>0</v>
      </c>
      <c r="M262" s="45">
        <f t="shared" si="118"/>
        <v>0</v>
      </c>
      <c r="N262" s="45">
        <f t="shared" si="118"/>
        <v>0</v>
      </c>
      <c r="O262" s="45">
        <f t="shared" si="116"/>
        <v>0</v>
      </c>
      <c r="P262" s="45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8"/>
        <v>25000</v>
      </c>
      <c r="M263" s="45">
        <f t="shared" ca="1" si="118"/>
        <v>25000</v>
      </c>
      <c r="N263" s="45">
        <f t="shared" ca="1" si="118"/>
        <v>720</v>
      </c>
      <c r="O263" s="45">
        <f t="shared" ca="1" si="116"/>
        <v>2.88</v>
      </c>
      <c r="P263" s="45">
        <f t="shared" ca="1" si="117"/>
        <v>2.88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19">L265+L266</f>
        <v>25000</v>
      </c>
      <c r="M264" s="38">
        <f t="shared" ca="1" si="119"/>
        <v>25000</v>
      </c>
      <c r="N264" s="38">
        <f t="shared" ca="1" si="119"/>
        <v>720</v>
      </c>
      <c r="O264" s="38">
        <f t="shared" ca="1" si="116"/>
        <v>2.88</v>
      </c>
      <c r="P264" s="38">
        <f t="shared" ca="1" si="117"/>
        <v>2.88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6"/>
        <v>0</v>
      </c>
      <c r="P265" s="45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IFERROR(__xludf.DUMMYFUNCTION("IMPORTRANGE(""https://docs.google.com/spreadsheets/d/1MeEWN-I1oV_STSDYn1IFDPWt_1FKiwhDph83XaGc0o0/edit?usp=sharing"",""งบพรบ!CY83"")"),25000)</f>
        <v>25000</v>
      </c>
      <c r="M266" s="45">
        <f ca="1">IFERROR(__xludf.DUMMYFUNCTION("IMPORTRANGE(""https://docs.google.com/spreadsheets/d/1MeEWN-I1oV_STSDYn1IFDPWt_1FKiwhDph83XaGc0o0/edit?usp=sharing"",""งบพรบ!DD83"")"),25000)</f>
        <v>25000</v>
      </c>
      <c r="N266" s="45">
        <f ca="1">IFERROR(__xludf.DUMMYFUNCTION("IMPORTRANGE(""https://docs.google.com/spreadsheets/d/1MeEWN-I1oV_STSDYn1IFDPWt_1FKiwhDph83XaGc0o0/edit?usp=sharing"",""งบพรบ!DF83"")"),720)</f>
        <v>720</v>
      </c>
      <c r="O266" s="45">
        <f t="shared" ca="1" si="116"/>
        <v>2.88</v>
      </c>
      <c r="P266" s="45">
        <f t="shared" ca="1" si="117"/>
        <v>2.88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0">L268+L269</f>
        <v>0</v>
      </c>
      <c r="M267" s="38">
        <f t="shared" ca="1" si="120"/>
        <v>0</v>
      </c>
      <c r="N267" s="38">
        <f t="shared" ca="1" si="120"/>
        <v>0</v>
      </c>
      <c r="O267" s="38">
        <f t="shared" ca="1" si="116"/>
        <v>0</v>
      </c>
      <c r="P267" s="3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6"/>
        <v>0</v>
      </c>
      <c r="P268" s="45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IFERROR(__xludf.DUMMYFUNCTION("IMPORTRANGE(""https://docs.google.com/spreadsheets/d/1MeEWN-I1oV_STSDYn1IFDPWt_1FKiwhDph83XaGc0o0/edit?usp=sharing"",""งบพรบ!DB83"")"),0)</f>
        <v>0</v>
      </c>
      <c r="M269" s="45">
        <f ca="1">IFERROR(__xludf.DUMMYFUNCTION("IMPORTRANGE(""https://docs.google.com/spreadsheets/d/1MeEWN-I1oV_STSDYn1IFDPWt_1FKiwhDph83XaGc0o0/edit?usp=sharing"",""งบพรบ!DE83"")"),0)</f>
        <v>0</v>
      </c>
      <c r="N269" s="45">
        <f ca="1">IFERROR(__xludf.DUMMYFUNCTION("IMPORTRANGE(""https://docs.google.com/spreadsheets/d/1MeEWN-I1oV_STSDYn1IFDPWt_1FKiwhDph83XaGc0o0/edit?usp=sharing"",""งบพรบ!DG83"")"),0)</f>
        <v>0</v>
      </c>
      <c r="O269" s="45">
        <f t="shared" ca="1" si="116"/>
        <v>0</v>
      </c>
      <c r="P269" s="45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IFERROR(__xludf.DUMMYFUNCTION("IMPORTRANGE(""https://docs.google.com/spreadsheets/d/1QqKyyYR6Q21VydFLVH3TRQUabQu_ym0Zz7PgGX0-kHA/edit?usp=sharing"",""แผน!EA83"")"),20)</f>
        <v>20</v>
      </c>
      <c r="J271" s="181">
        <v>0</v>
      </c>
      <c r="K271" s="162">
        <f ca="1">IF(I271&gt;0,J271*100/I271,0)</f>
        <v>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1">I288</f>
        <v>0</v>
      </c>
      <c r="J275" s="387">
        <f t="shared" ca="1" si="121"/>
        <v>0</v>
      </c>
      <c r="K275" s="388">
        <f t="shared" ref="K275:K276" ca="1" si="122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3">I287</f>
        <v>0</v>
      </c>
      <c r="J276" s="390">
        <f t="shared" si="123"/>
        <v>0</v>
      </c>
      <c r="K276" s="389">
        <f t="shared" ca="1" si="122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4">L278+L279</f>
        <v>0</v>
      </c>
      <c r="M277" s="154">
        <f t="shared" ca="1" si="124"/>
        <v>0</v>
      </c>
      <c r="N277" s="154">
        <f t="shared" ca="1" si="124"/>
        <v>0</v>
      </c>
      <c r="O277" s="154">
        <f t="shared" ref="O277:O285" ca="1" si="125">IF(L277&gt;0,N277*100/L277,0)</f>
        <v>0</v>
      </c>
      <c r="P277" s="154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7">L281+L284</f>
        <v>0</v>
      </c>
      <c r="M278" s="45">
        <f t="shared" si="127"/>
        <v>0</v>
      </c>
      <c r="N278" s="45">
        <f t="shared" si="127"/>
        <v>0</v>
      </c>
      <c r="O278" s="45">
        <f t="shared" si="125"/>
        <v>0</v>
      </c>
      <c r="P278" s="45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7"/>
        <v>0</v>
      </c>
      <c r="M279" s="45">
        <f t="shared" ca="1" si="127"/>
        <v>0</v>
      </c>
      <c r="N279" s="45">
        <f t="shared" ca="1" si="127"/>
        <v>0</v>
      </c>
      <c r="O279" s="45">
        <f t="shared" ca="1" si="125"/>
        <v>0</v>
      </c>
      <c r="P279" s="45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8">L281+L282</f>
        <v>0</v>
      </c>
      <c r="M280" s="38">
        <f t="shared" ca="1" si="128"/>
        <v>0</v>
      </c>
      <c r="N280" s="38">
        <f t="shared" ca="1" si="128"/>
        <v>0</v>
      </c>
      <c r="O280" s="38">
        <f t="shared" ca="1" si="125"/>
        <v>0</v>
      </c>
      <c r="P280" s="3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5"/>
        <v>0</v>
      </c>
      <c r="P281" s="45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IFERROR(__xludf.DUMMYFUNCTION("IMPORTRANGE(""https://docs.google.com/spreadsheets/d/1MeEWN-I1oV_STSDYn1IFDPWt_1FKiwhDph83XaGc0o0/edit?usp=sharing"",""งบพรบ!DI83"")"),0)</f>
        <v>0</v>
      </c>
      <c r="M282" s="45">
        <f ca="1">IFERROR(__xludf.DUMMYFUNCTION("IMPORTRANGE(""https://docs.google.com/spreadsheets/d/1MeEWN-I1oV_STSDYn1IFDPWt_1FKiwhDph83XaGc0o0/edit?usp=sharing"",""งบพรบ!DN83"")"),0)</f>
        <v>0</v>
      </c>
      <c r="N282" s="45">
        <f ca="1">IFERROR(__xludf.DUMMYFUNCTION("IMPORTRANGE(""https://docs.google.com/spreadsheets/d/1MeEWN-I1oV_STSDYn1IFDPWt_1FKiwhDph83XaGc0o0/edit?usp=sharing"",""งบพรบ!DP83"")"),0)</f>
        <v>0</v>
      </c>
      <c r="O282" s="45">
        <f t="shared" ca="1" si="125"/>
        <v>0</v>
      </c>
      <c r="P282" s="45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29">L284+L285</f>
        <v>0</v>
      </c>
      <c r="M283" s="38">
        <f t="shared" ca="1" si="129"/>
        <v>0</v>
      </c>
      <c r="N283" s="38">
        <f t="shared" ca="1" si="129"/>
        <v>0</v>
      </c>
      <c r="O283" s="38">
        <f t="shared" ca="1" si="125"/>
        <v>0</v>
      </c>
      <c r="P283" s="3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5"/>
        <v>0</v>
      </c>
      <c r="P284" s="45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IFERROR(__xludf.DUMMYFUNCTION("IMPORTRANGE(""https://docs.google.com/spreadsheets/d/1MeEWN-I1oV_STSDYn1IFDPWt_1FKiwhDph83XaGc0o0/edit?usp=sharing"",""งบพรบ!DL83"")"),0)</f>
        <v>0</v>
      </c>
      <c r="M285" s="45">
        <f ca="1">IFERROR(__xludf.DUMMYFUNCTION("IMPORTRANGE(""https://docs.google.com/spreadsheets/d/1MeEWN-I1oV_STSDYn1IFDPWt_1FKiwhDph83XaGc0o0/edit?usp=sharing"",""งบพรบ!DO83"")"),0)</f>
        <v>0</v>
      </c>
      <c r="N285" s="45">
        <f ca="1">IFERROR(__xludf.DUMMYFUNCTION("IMPORTRANGE(""https://docs.google.com/spreadsheets/d/1MeEWN-I1oV_STSDYn1IFDPWt_1FKiwhDph83XaGc0o0/edit?usp=sharing"",""งบพรบ!DQ83"")"),0)</f>
        <v>0</v>
      </c>
      <c r="O285" s="45">
        <f t="shared" ca="1" si="125"/>
        <v>0</v>
      </c>
      <c r="P285" s="45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IFERROR(__xludf.DUMMYFUNCTION("IMPORTRANGE(""https://docs.google.com/spreadsheets/d/1QqKyyYR6Q21VydFLVH3TRQUabQu_ym0Zz7PgGX0-kHA/edit?usp=sharing"",""แผน!EC83"")"),0)</f>
        <v>0</v>
      </c>
      <c r="J287" s="37">
        <v>0</v>
      </c>
      <c r="K287" s="162">
        <f t="shared" ref="K287:K288" ca="1" si="130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IFERROR(__xludf.DUMMYFUNCTION("IMPORTRANGE(""https://docs.google.com/spreadsheets/d/1QqKyyYR6Q21VydFLVH3TRQUabQu_ym0Zz7PgGX0-kHA/edit?usp=sharing"",""แผน!EB83"")"),0)</f>
        <v>0</v>
      </c>
      <c r="J288" s="190">
        <f ca="1">IF(AND(J291&gt;=I288,J294&gt;=I288),J294,0)</f>
        <v>0</v>
      </c>
      <c r="K288" s="391">
        <f t="shared" ca="1" si="130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IFERROR(__xludf.DUMMYFUNCTION("IMPORTRANGE(""https://docs.google.com/spreadsheets/d/1QqKyyYR6Q21VydFLVH3TRQUabQu_ym0Zz7PgGX0-kHA/edit?usp=sharing"",""แผน!EB83"")"),0)</f>
        <v>0</v>
      </c>
      <c r="J290" s="181">
        <v>0</v>
      </c>
      <c r="K290" s="162">
        <f t="shared" ref="K290:K291" ca="1" si="131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337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IFERROR(__xludf.DUMMYFUNCTION("IMPORTRANGE(""https://docs.google.com/spreadsheets/d/1QqKyyYR6Q21VydFLVH3TRQUabQu_ym0Zz7PgGX0-kHA/edit?usp=sharing"",""แผน!EB83"")"),0)</f>
        <v>0</v>
      </c>
      <c r="J291" s="181">
        <v>0</v>
      </c>
      <c r="K291" s="162">
        <f t="shared" ca="1" si="131"/>
        <v>0</v>
      </c>
      <c r="L291" s="162"/>
      <c r="M291" s="162"/>
      <c r="N291" s="162"/>
      <c r="O291" s="162"/>
      <c r="P291" s="162"/>
    </row>
    <row r="292" spans="1:26" ht="19" hidden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IFERROR(__xludf.DUMMYFUNCTION("IMPORTRANGE(""https://docs.google.com/spreadsheets/d/1QqKyyYR6Q21VydFLVH3TRQUabQu_ym0Zz7PgGX0-kHA/edit?usp=sharing"",""แผน!EB83"")"),0)</f>
        <v>0</v>
      </c>
      <c r="J293" s="181">
        <v>0</v>
      </c>
      <c r="K293" s="162">
        <f t="shared" ref="K293:K294" ca="1" si="132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9" t="s">
        <v>337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IFERROR(__xludf.DUMMYFUNCTION("IMPORTRANGE(""https://docs.google.com/spreadsheets/d/1QqKyyYR6Q21VydFLVH3TRQUabQu_ym0Zz7PgGX0-kHA/edit?usp=sharing"",""แผน!EB83"")"),0)</f>
        <v>0</v>
      </c>
      <c r="J294" s="57">
        <v>0</v>
      </c>
      <c r="K294" s="366">
        <f t="shared" ca="1" si="132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3">I309</f>
        <v>0</v>
      </c>
      <c r="J297" s="421">
        <f t="shared" si="133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4">L299+L300</f>
        <v>0</v>
      </c>
      <c r="M298" s="154">
        <f t="shared" ca="1" si="134"/>
        <v>0</v>
      </c>
      <c r="N298" s="154">
        <f t="shared" ca="1" si="134"/>
        <v>0</v>
      </c>
      <c r="O298" s="154">
        <f t="shared" ref="O298:O306" ca="1" si="135">IF(L298&gt;0,N298*100/L298,0)</f>
        <v>0</v>
      </c>
      <c r="P298" s="154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7">L302+L305</f>
        <v>0</v>
      </c>
      <c r="M299" s="45">
        <f t="shared" si="137"/>
        <v>0</v>
      </c>
      <c r="N299" s="45">
        <f t="shared" si="137"/>
        <v>0</v>
      </c>
      <c r="O299" s="45">
        <f t="shared" si="135"/>
        <v>0</v>
      </c>
      <c r="P299" s="45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7"/>
        <v>0</v>
      </c>
      <c r="M300" s="45">
        <f t="shared" ca="1" si="137"/>
        <v>0</v>
      </c>
      <c r="N300" s="45">
        <f t="shared" ca="1" si="137"/>
        <v>0</v>
      </c>
      <c r="O300" s="45">
        <f t="shared" ca="1" si="135"/>
        <v>0</v>
      </c>
      <c r="P300" s="45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8">L302+L303</f>
        <v>0</v>
      </c>
      <c r="M301" s="38">
        <f t="shared" ca="1" si="138"/>
        <v>0</v>
      </c>
      <c r="N301" s="38">
        <f t="shared" ca="1" si="138"/>
        <v>0</v>
      </c>
      <c r="O301" s="38">
        <f t="shared" ca="1" si="135"/>
        <v>0</v>
      </c>
      <c r="P301" s="3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5"/>
        <v>0</v>
      </c>
      <c r="P302" s="45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IFERROR(__xludf.DUMMYFUNCTION("IMPORTRANGE(""https://docs.google.com/spreadsheets/d/1MeEWN-I1oV_STSDYn1IFDPWt_1FKiwhDph83XaGc0o0/edit?usp=sharing"",""งบพรบ!DS83"")"),0)</f>
        <v>0</v>
      </c>
      <c r="M303" s="45">
        <f ca="1">IFERROR(__xludf.DUMMYFUNCTION("IMPORTRANGE(""https://docs.google.com/spreadsheets/d/1MeEWN-I1oV_STSDYn1IFDPWt_1FKiwhDph83XaGc0o0/edit?usp=sharing"",""งบพรบ!DX83"")"),0)</f>
        <v>0</v>
      </c>
      <c r="N303" s="45">
        <f ca="1">IFERROR(__xludf.DUMMYFUNCTION("IMPORTRANGE(""https://docs.google.com/spreadsheets/d/1MeEWN-I1oV_STSDYn1IFDPWt_1FKiwhDph83XaGc0o0/edit?usp=sharing"",""งบพรบ!DZ83"")"),0)</f>
        <v>0</v>
      </c>
      <c r="O303" s="45">
        <f t="shared" ca="1" si="135"/>
        <v>0</v>
      </c>
      <c r="P303" s="45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39">L305+L306</f>
        <v>0</v>
      </c>
      <c r="M304" s="38">
        <f t="shared" ca="1" si="139"/>
        <v>0</v>
      </c>
      <c r="N304" s="38">
        <f t="shared" ca="1" si="139"/>
        <v>0</v>
      </c>
      <c r="O304" s="38">
        <f t="shared" ca="1" si="135"/>
        <v>0</v>
      </c>
      <c r="P304" s="3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5"/>
        <v>0</v>
      </c>
      <c r="P305" s="45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IFERROR(__xludf.DUMMYFUNCTION("IMPORTRANGE(""https://docs.google.com/spreadsheets/d/1MeEWN-I1oV_STSDYn1IFDPWt_1FKiwhDph83XaGc0o0/edit?usp=sharing"",""งบพรบ!DV83"")"),0)</f>
        <v>0</v>
      </c>
      <c r="M306" s="45">
        <f ca="1">IFERROR(__xludf.DUMMYFUNCTION("IMPORTRANGE(""https://docs.google.com/spreadsheets/d/1MeEWN-I1oV_STSDYn1IFDPWt_1FKiwhDph83XaGc0o0/edit?usp=sharing"",""งบพรบ!DY83"")"),0)</f>
        <v>0</v>
      </c>
      <c r="N306" s="45">
        <f ca="1">IFERROR(__xludf.DUMMYFUNCTION("IMPORTRANGE(""https://docs.google.com/spreadsheets/d/1MeEWN-I1oV_STSDYn1IFDPWt_1FKiwhDph83XaGc0o0/edit?usp=sharing"",""งบพรบ!EA83"")"),0)</f>
        <v>0</v>
      </c>
      <c r="O306" s="45">
        <f t="shared" ca="1" si="135"/>
        <v>0</v>
      </c>
      <c r="P306" s="45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IFERROR(__xludf.DUMMYFUNCTION("IMPORTRANGE(""https://docs.google.com/spreadsheets/d/1QqKyyYR6Q21VydFLVH3TRQUabQu_ym0Zz7PgGX0-kHA/edit?usp=sharing"",""แผน!ED83"")"),0)</f>
        <v>0</v>
      </c>
      <c r="J309" s="181">
        <v>0</v>
      </c>
      <c r="K309" s="38">
        <f t="shared" ref="K309:K312" ca="1" si="140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IFERROR(__xludf.DUMMYFUNCTION("IMPORTRANGE(""https://docs.google.com/spreadsheets/d/1QqKyyYR6Q21VydFLVH3TRQUabQu_ym0Zz7PgGX0-kHA/edit?usp=sharing"",""แผน!ED83"")"),0)</f>
        <v>0</v>
      </c>
      <c r="J310" s="181">
        <v>0</v>
      </c>
      <c r="K310" s="38">
        <f t="shared" ca="1" si="140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IFERROR(__xludf.DUMMYFUNCTION("IMPORTRANGE(""https://docs.google.com/spreadsheets/d/1QqKyyYR6Q21VydFLVH3TRQUabQu_ym0Zz7PgGX0-kHA/edit?usp=sharing"",""แผน!ED83"")"),0)</f>
        <v>0</v>
      </c>
      <c r="J311" s="181">
        <v>0</v>
      </c>
      <c r="K311" s="38">
        <f t="shared" ca="1" si="140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IFERROR(__xludf.DUMMYFUNCTION("IMPORTRANGE(""https://docs.google.com/spreadsheets/d/1QqKyyYR6Q21VydFLVH3TRQUabQu_ym0Zz7PgGX0-kHA/edit?usp=sharing"",""แผน!EE83"")"),0)</f>
        <v>0</v>
      </c>
      <c r="J312" s="181">
        <v>0</v>
      </c>
      <c r="K312" s="38">
        <f t="shared" ca="1" si="140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1">I325</f>
        <v>0</v>
      </c>
      <c r="J314" s="421">
        <f t="shared" si="141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2">L316+L317</f>
        <v>0</v>
      </c>
      <c r="M315" s="154">
        <f t="shared" ca="1" si="142"/>
        <v>0</v>
      </c>
      <c r="N315" s="154">
        <f t="shared" ca="1" si="142"/>
        <v>0</v>
      </c>
      <c r="O315" s="154">
        <f t="shared" ref="O315:O323" ca="1" si="143">IF(L315&gt;0,N315*100/L315,0)</f>
        <v>0</v>
      </c>
      <c r="P315" s="154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5">L319+L322</f>
        <v>0</v>
      </c>
      <c r="M316" s="45">
        <f t="shared" si="145"/>
        <v>0</v>
      </c>
      <c r="N316" s="45">
        <f t="shared" si="145"/>
        <v>0</v>
      </c>
      <c r="O316" s="45">
        <f t="shared" si="143"/>
        <v>0</v>
      </c>
      <c r="P316" s="45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5"/>
        <v>0</v>
      </c>
      <c r="M317" s="45">
        <f t="shared" ca="1" si="145"/>
        <v>0</v>
      </c>
      <c r="N317" s="45">
        <f t="shared" ca="1" si="145"/>
        <v>0</v>
      </c>
      <c r="O317" s="45">
        <f t="shared" ca="1" si="143"/>
        <v>0</v>
      </c>
      <c r="P317" s="45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6">L319+L320</f>
        <v>0</v>
      </c>
      <c r="M318" s="38">
        <f t="shared" ca="1" si="146"/>
        <v>0</v>
      </c>
      <c r="N318" s="38">
        <f t="shared" ca="1" si="146"/>
        <v>0</v>
      </c>
      <c r="O318" s="38">
        <f t="shared" ca="1" si="143"/>
        <v>0</v>
      </c>
      <c r="P318" s="3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3"/>
        <v>0</v>
      </c>
      <c r="P319" s="45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IFERROR(__xludf.DUMMYFUNCTION("IMPORTRANGE(""https://docs.google.com/spreadsheets/d/1MeEWN-I1oV_STSDYn1IFDPWt_1FKiwhDph83XaGc0o0/edit?usp=sharing"",""งบพรบ!EC83"")"),0)</f>
        <v>0</v>
      </c>
      <c r="M320" s="45">
        <f ca="1">IFERROR(__xludf.DUMMYFUNCTION("IMPORTRANGE(""https://docs.google.com/spreadsheets/d/1MeEWN-I1oV_STSDYn1IFDPWt_1FKiwhDph83XaGc0o0/edit?usp=sharing"",""งบพรบ!EH83"")"),0)</f>
        <v>0</v>
      </c>
      <c r="N320" s="45">
        <f ca="1">IFERROR(__xludf.DUMMYFUNCTION("IMPORTRANGE(""https://docs.google.com/spreadsheets/d/1MeEWN-I1oV_STSDYn1IFDPWt_1FKiwhDph83XaGc0o0/edit?usp=sharing"",""งบพรบ!EJ83"")"),0)</f>
        <v>0</v>
      </c>
      <c r="O320" s="45">
        <f t="shared" ca="1" si="143"/>
        <v>0</v>
      </c>
      <c r="P320" s="45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7">L322+L323</f>
        <v>0</v>
      </c>
      <c r="M321" s="38">
        <f t="shared" ca="1" si="147"/>
        <v>0</v>
      </c>
      <c r="N321" s="38">
        <f t="shared" ca="1" si="147"/>
        <v>0</v>
      </c>
      <c r="O321" s="38">
        <f t="shared" ca="1" si="143"/>
        <v>0</v>
      </c>
      <c r="P321" s="3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3"/>
        <v>0</v>
      </c>
      <c r="P322" s="45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IFERROR(__xludf.DUMMYFUNCTION("IMPORTRANGE(""https://docs.google.com/spreadsheets/d/1MeEWN-I1oV_STSDYn1IFDPWt_1FKiwhDph83XaGc0o0/edit?usp=sharing"",""งบพรบ!EF83"")"),0)</f>
        <v>0</v>
      </c>
      <c r="M323" s="45">
        <f ca="1">IFERROR(__xludf.DUMMYFUNCTION("IMPORTRANGE(""https://docs.google.com/spreadsheets/d/1MeEWN-I1oV_STSDYn1IFDPWt_1FKiwhDph83XaGc0o0/edit?usp=sharing"",""งบพรบ!EI83"")"),0)</f>
        <v>0</v>
      </c>
      <c r="N323" s="45">
        <f ca="1">IFERROR(__xludf.DUMMYFUNCTION("IMPORTRANGE(""https://docs.google.com/spreadsheets/d/1MeEWN-I1oV_STSDYn1IFDPWt_1FKiwhDph83XaGc0o0/edit?usp=sharing"",""งบพรบ!EK83"")"),0)</f>
        <v>0</v>
      </c>
      <c r="O323" s="45">
        <f t="shared" ca="1" si="143"/>
        <v>0</v>
      </c>
      <c r="P323" s="45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IFERROR(__xludf.DUMMYFUNCTION("IMPORTRANGE(""https://docs.google.com/spreadsheets/d/1QqKyyYR6Q21VydFLVH3TRQUabQu_ym0Zz7PgGX0-kHA/edit?usp=sharing"",""แผน!EF83"")"),0)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IFERROR(__xludf.DUMMYFUNCTION("IMPORTRANGE(""https://docs.google.com/spreadsheets/d/1QqKyyYR6Q21VydFLVH3TRQUabQu_ym0Zz7PgGX0-kHA/edit?usp=sharing"",""แผน!EG83"")"),180)</f>
        <v>180</v>
      </c>
      <c r="J327" s="421">
        <f ca="1">J338+J341+J342+J343</f>
        <v>194</v>
      </c>
      <c r="K327" s="422">
        <f ca="1">IF(I327&gt;0,J327*100/I327,0)</f>
        <v>107.77777777777777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8">L329+L330</f>
        <v>157000</v>
      </c>
      <c r="M328" s="154">
        <f t="shared" ca="1" si="148"/>
        <v>159500</v>
      </c>
      <c r="N328" s="154">
        <f t="shared" ca="1" si="148"/>
        <v>108706.2</v>
      </c>
      <c r="O328" s="154">
        <f t="shared" ref="O328:O336" ca="1" si="149">IF(L328&gt;0,N328*100/L328,0)</f>
        <v>69.239617834394906</v>
      </c>
      <c r="P328" s="154">
        <f t="shared" ref="P328:P336" ca="1" si="150">IF(M328&gt;0,N328*100/M328,0)</f>
        <v>68.154357366771166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1">L332+L335</f>
        <v>0</v>
      </c>
      <c r="M329" s="45">
        <f t="shared" si="151"/>
        <v>0</v>
      </c>
      <c r="N329" s="45">
        <f t="shared" si="151"/>
        <v>0</v>
      </c>
      <c r="O329" s="45">
        <f t="shared" si="149"/>
        <v>0</v>
      </c>
      <c r="P329" s="45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1"/>
        <v>157000</v>
      </c>
      <c r="M330" s="45">
        <f t="shared" ca="1" si="151"/>
        <v>159500</v>
      </c>
      <c r="N330" s="45">
        <f t="shared" ca="1" si="151"/>
        <v>108706.2</v>
      </c>
      <c r="O330" s="45">
        <f t="shared" ca="1" si="149"/>
        <v>69.239617834394906</v>
      </c>
      <c r="P330" s="45">
        <f t="shared" ca="1" si="150"/>
        <v>68.154357366771166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2">L332+L333</f>
        <v>157000</v>
      </c>
      <c r="M331" s="38">
        <f t="shared" ca="1" si="152"/>
        <v>159500</v>
      </c>
      <c r="N331" s="38">
        <f t="shared" ca="1" si="152"/>
        <v>108706.2</v>
      </c>
      <c r="O331" s="38">
        <f t="shared" ca="1" si="149"/>
        <v>69.239617834394906</v>
      </c>
      <c r="P331" s="38">
        <f t="shared" ca="1" si="150"/>
        <v>68.154357366771166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49"/>
        <v>0</v>
      </c>
      <c r="P332" s="45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IFERROR(__xludf.DUMMYFUNCTION("IMPORTRANGE(""https://docs.google.com/spreadsheets/d/1MeEWN-I1oV_STSDYn1IFDPWt_1FKiwhDph83XaGc0o0/edit?usp=sharing"",""งบพรบ!EM83"")"),157000)</f>
        <v>157000</v>
      </c>
      <c r="M333" s="45">
        <f ca="1">IFERROR(__xludf.DUMMYFUNCTION("IMPORTRANGE(""https://docs.google.com/spreadsheets/d/1MeEWN-I1oV_STSDYn1IFDPWt_1FKiwhDph83XaGc0o0/edit?usp=sharing"",""งบพรบ!ER83"")"),159500)</f>
        <v>159500</v>
      </c>
      <c r="N333" s="45">
        <f ca="1">IFERROR(__xludf.DUMMYFUNCTION("IMPORTRANGE(""https://docs.google.com/spreadsheets/d/1MeEWN-I1oV_STSDYn1IFDPWt_1FKiwhDph83XaGc0o0/edit?usp=sharing"",""งบพรบ!ET83"")"),108706.2)</f>
        <v>108706.2</v>
      </c>
      <c r="O333" s="45">
        <f t="shared" ca="1" si="149"/>
        <v>69.239617834394906</v>
      </c>
      <c r="P333" s="45">
        <f t="shared" ca="1" si="150"/>
        <v>68.154357366771166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3">L335+L336</f>
        <v>0</v>
      </c>
      <c r="M334" s="38">
        <f t="shared" ca="1" si="153"/>
        <v>0</v>
      </c>
      <c r="N334" s="38">
        <f t="shared" ca="1" si="153"/>
        <v>0</v>
      </c>
      <c r="O334" s="38">
        <f t="shared" ca="1" si="149"/>
        <v>0</v>
      </c>
      <c r="P334" s="3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49"/>
        <v>0</v>
      </c>
      <c r="P335" s="45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IFERROR(__xludf.DUMMYFUNCTION("IMPORTRANGE(""https://docs.google.com/spreadsheets/d/1MeEWN-I1oV_STSDYn1IFDPWt_1FKiwhDph83XaGc0o0/edit?usp=sharing"",""งบพรบ!EP83"")"),0)</f>
        <v>0</v>
      </c>
      <c r="M336" s="45">
        <f ca="1">IFERROR(__xludf.DUMMYFUNCTION("IMPORTRANGE(""https://docs.google.com/spreadsheets/d/1MeEWN-I1oV_STSDYn1IFDPWt_1FKiwhDph83XaGc0o0/edit?usp=sharing"",""งบพรบ!ES83"")"),0)</f>
        <v>0</v>
      </c>
      <c r="N336" s="45">
        <f ca="1">IFERROR(__xludf.DUMMYFUNCTION("IMPORTRANGE(""https://docs.google.com/spreadsheets/d/1MeEWN-I1oV_STSDYn1IFDPWt_1FKiwhDph83XaGc0o0/edit?usp=sharing"",""งบพรบ!EU83"")"),0)</f>
        <v>0</v>
      </c>
      <c r="O336" s="45">
        <f t="shared" ca="1" si="149"/>
        <v>0</v>
      </c>
      <c r="P336" s="45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IFERROR(__xludf.DUMMYFUNCTION("IMPORTRANGE(""https://docs.google.com/spreadsheets/d/1QqKyyYR6Q21VydFLVH3TRQUabQu_ym0Zz7PgGX0-kHA/edit?usp=sharing"",""แผน!EG83"")"),180)</f>
        <v>180</v>
      </c>
      <c r="J338" s="37">
        <f ca="1">IFERROR(__xludf.DUMMYFUNCTION("IMPORTRANGE(""https://docs.google.com/spreadsheets/d/1kVcqe37tkHyjCSG3S0O1AXqVkqjo8mSIZil3BcpIysc/edit?usp=sharing"",""ศูนย์!D83"")"),178)</f>
        <v>178</v>
      </c>
      <c r="K338" s="38">
        <f ca="1">IF(I338&gt;0,J338*100/I338,0)</f>
        <v>98.888888888888886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IFERROR(__xludf.DUMMYFUNCTION("IMPORTRANGE(""https://docs.google.com/spreadsheets/d/1QqKyyYR6Q21VydFLVH3TRQUabQu_ym0Zz7PgGX0-kHA/edit?usp=sharing"",""แผน!EH83"")"),2)</f>
        <v>2</v>
      </c>
      <c r="J340" s="37">
        <f ca="1">IFERROR(__xludf.DUMMYFUNCTION("IMPORTRANGE(""https://docs.google.com/spreadsheets/d/1kVcqe37tkHyjCSG3S0O1AXqVkqjo8mSIZil3BcpIysc/edit?usp=sharing"",""ศูนย์!E83"")"),2)</f>
        <v>2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IFERROR(__xludf.DUMMYFUNCTION("IMPORTRANGE(""https://docs.google.com/spreadsheets/d/1kVcqe37tkHyjCSG3S0O1AXqVkqjo8mSIZil3BcpIysc/edit?usp=sharing"",""ศูนย์!F83"")"),16)</f>
        <v>16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IFERROR(__xludf.DUMMYFUNCTION("IMPORTRANGE(""https://docs.google.com/spreadsheets/d/1kVcqe37tkHyjCSG3S0O1AXqVkqjo8mSIZil3BcpIysc/edit?usp=sharing"",""ศูนย์!G83"")"),0)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IFERROR(__xludf.DUMMYFUNCTION("IMPORTRANGE(""https://docs.google.com/spreadsheets/d/1kVcqe37tkHyjCSG3S0O1AXqVkqjo8mSIZil3BcpIysc/edit?usp=sharing"",""ศูนย์!H83"")"),0)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4">L346+L347</f>
        <v>518760</v>
      </c>
      <c r="M345" s="154">
        <f t="shared" ca="1" si="154"/>
        <v>757180</v>
      </c>
      <c r="N345" s="154">
        <f t="shared" ca="1" si="154"/>
        <v>548015.72</v>
      </c>
      <c r="O345" s="154">
        <f t="shared" ref="O345:O353" ca="1" si="155">IF(L345&gt;0,N345*100/L345,0)</f>
        <v>105.63954815328862</v>
      </c>
      <c r="P345" s="154">
        <f t="shared" ref="P345:P353" ca="1" si="156">IF(M345&gt;0,N345*100/M345,0)</f>
        <v>72.37588420190707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7">L349+L352</f>
        <v>0</v>
      </c>
      <c r="M346" s="45">
        <f t="shared" si="157"/>
        <v>0</v>
      </c>
      <c r="N346" s="45">
        <f t="shared" si="157"/>
        <v>0</v>
      </c>
      <c r="O346" s="45">
        <f t="shared" si="155"/>
        <v>0</v>
      </c>
      <c r="P346" s="45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7"/>
        <v>518760</v>
      </c>
      <c r="M347" s="45">
        <f t="shared" ca="1" si="157"/>
        <v>757180</v>
      </c>
      <c r="N347" s="45">
        <f t="shared" ca="1" si="157"/>
        <v>548015.72</v>
      </c>
      <c r="O347" s="45">
        <f t="shared" ca="1" si="155"/>
        <v>105.63954815328862</v>
      </c>
      <c r="P347" s="45">
        <f t="shared" ca="1" si="156"/>
        <v>72.37588420190707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8">L349+L350</f>
        <v>404960</v>
      </c>
      <c r="M348" s="38">
        <f t="shared" ca="1" si="158"/>
        <v>643580</v>
      </c>
      <c r="N348" s="38">
        <f t="shared" ca="1" si="158"/>
        <v>434415.72</v>
      </c>
      <c r="O348" s="38">
        <f t="shared" ca="1" si="155"/>
        <v>107.27373567759778</v>
      </c>
      <c r="P348" s="38">
        <f t="shared" ca="1" si="156"/>
        <v>67.499878802946014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5"/>
        <v>0</v>
      </c>
      <c r="P349" s="45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IFERROR(__xludf.DUMMYFUNCTION("IMPORTRANGE(""https://docs.google.com/spreadsheets/d/1MeEWN-I1oV_STSDYn1IFDPWt_1FKiwhDph83XaGc0o0/edit?usp=sharing"",""งบพรบ!EW83"")"),404960)</f>
        <v>404960</v>
      </c>
      <c r="M350" s="45">
        <f ca="1">IFERROR(__xludf.DUMMYFUNCTION("IMPORTRANGE(""https://docs.google.com/spreadsheets/d/1MeEWN-I1oV_STSDYn1IFDPWt_1FKiwhDph83XaGc0o0/edit?usp=sharing"",""งบพรบ!FB83"")"),643580)</f>
        <v>643580</v>
      </c>
      <c r="N350" s="45">
        <f ca="1">IFERROR(__xludf.DUMMYFUNCTION("IMPORTRANGE(""https://docs.google.com/spreadsheets/d/1MeEWN-I1oV_STSDYn1IFDPWt_1FKiwhDph83XaGc0o0/edit?usp=sharing"",""งบพรบ!FD83"")"),434415.72)</f>
        <v>434415.72</v>
      </c>
      <c r="O350" s="45">
        <f t="shared" ca="1" si="155"/>
        <v>107.27373567759778</v>
      </c>
      <c r="P350" s="45">
        <f t="shared" ca="1" si="156"/>
        <v>67.499878802946014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59">L352+L353</f>
        <v>113800</v>
      </c>
      <c r="M351" s="38">
        <f t="shared" ca="1" si="159"/>
        <v>113600</v>
      </c>
      <c r="N351" s="38">
        <f t="shared" ca="1" si="159"/>
        <v>113600</v>
      </c>
      <c r="O351" s="38">
        <f t="shared" ca="1" si="155"/>
        <v>99.824253075571178</v>
      </c>
      <c r="P351" s="3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5"/>
        <v>0</v>
      </c>
      <c r="P352" s="45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IFERROR(__xludf.DUMMYFUNCTION("IMPORTRANGE(""https://docs.google.com/spreadsheets/d/1MeEWN-I1oV_STSDYn1IFDPWt_1FKiwhDph83XaGc0o0/edit?usp=sharing"",""งบพรบ!EZ83"")"),113800)</f>
        <v>113800</v>
      </c>
      <c r="M353" s="45">
        <f ca="1">IFERROR(__xludf.DUMMYFUNCTION("IMPORTRANGE(""https://docs.google.com/spreadsheets/d/1MeEWN-I1oV_STSDYn1IFDPWt_1FKiwhDph83XaGc0o0/edit?usp=sharing"",""งบพรบ!FC83"")"),113600)</f>
        <v>113600</v>
      </c>
      <c r="N353" s="45">
        <f ca="1">IFERROR(__xludf.DUMMYFUNCTION("IMPORTRANGE(""https://docs.google.com/spreadsheets/d/1MeEWN-I1oV_STSDYn1IFDPWt_1FKiwhDph83XaGc0o0/edit?usp=sharing"",""งบพรบ!FE83"")"),113600)</f>
        <v>113600</v>
      </c>
      <c r="O353" s="45">
        <f t="shared" ca="1" si="155"/>
        <v>99.824253075571178</v>
      </c>
      <c r="P353" s="45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IFERROR(__xludf.DUMMYFUNCTION("IMPORTRANGE(""https://docs.google.com/spreadsheets/d/1QqKyyYR6Q21VydFLVH3TRQUabQu_ym0Zz7PgGX0-kHA/edit?usp=sharing"",""แผน!EP83"")"),22)</f>
        <v>22</v>
      </c>
      <c r="J355" s="438">
        <f ca="1">J362</f>
        <v>18</v>
      </c>
      <c r="K355" s="439">
        <f ca="1">IF(I355&gt;0,J355*100/I355,0)</f>
        <v>81.818181818181813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IFERROR(__xludf.DUMMYFUNCTION("IMPORTRANGE(""https://docs.google.com/spreadsheets/d/1XWAQStnk-4SwqDmLtmXYiTMKHgktTP8We1SCoS47DrQ/edit?usp=sharing"",""จัดที่ดิน!W83"")"),17)</f>
        <v>17</v>
      </c>
      <c r="K358" s="38">
        <f t="shared" ref="K358:K365" si="160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IFERROR(__xludf.DUMMYFUNCTION("IMPORTRANGE(""https://docs.google.com/spreadsheets/d/1QqKyyYR6Q21VydFLVH3TRQUabQu_ym0Zz7PgGX0-kHA/edit?usp=sharing"",""แผน!EO83"")"),95)</f>
        <v>95</v>
      </c>
      <c r="J359" s="37">
        <f ca="1">IFERROR(__xludf.DUMMYFUNCTION("IMPORTRANGE(""https://docs.google.com/spreadsheets/d/1XWAQStnk-4SwqDmLtmXYiTMKHgktTP8We1SCoS47DrQ/edit?usp=sharing"",""จัดที่ดิน!X83"")"),65.91)</f>
        <v>65.91</v>
      </c>
      <c r="K359" s="38">
        <f t="shared" ca="1" si="160"/>
        <v>69.378947368421052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IFERROR(__xludf.DUMMYFUNCTION("IMPORTRANGE(""https://docs.google.com/spreadsheets/d/1QqKyyYR6Q21VydFLVH3TRQUabQu_ym0Zz7PgGX0-kHA/edit?usp=sharing"",""แผน!EP83"")"),22)</f>
        <v>22</v>
      </c>
      <c r="J360" s="37">
        <f ca="1">IFERROR(__xludf.DUMMYFUNCTION("IMPORTRANGE(""https://docs.google.com/spreadsheets/d/1XWAQStnk-4SwqDmLtmXYiTMKHgktTP8We1SCoS47DrQ/edit?usp=sharing"",""จัดที่ดิน!Y83"")"),18)</f>
        <v>18</v>
      </c>
      <c r="K360" s="38">
        <f t="shared" ca="1" si="160"/>
        <v>81.818181818181813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IFERROR(__xludf.DUMMYFUNCTION("IMPORTRANGE(""https://docs.google.com/spreadsheets/d/1XWAQStnk-4SwqDmLtmXYiTMKHgktTP8We1SCoS47DrQ/edit?usp=sharing"",""จัดที่ดิน!Z83"")"),67.09)</f>
        <v>67.09</v>
      </c>
      <c r="K361" s="38">
        <f t="shared" si="160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IFERROR(__xludf.DUMMYFUNCTION("IMPORTRANGE(""https://docs.google.com/spreadsheets/d/1QqKyyYR6Q21VydFLVH3TRQUabQu_ym0Zz7PgGX0-kHA/edit?usp=sharing"",""แผน!EP83"")"),22)</f>
        <v>22</v>
      </c>
      <c r="J362" s="37">
        <f ca="1">IFERROR(__xludf.DUMMYFUNCTION("IMPORTRANGE(""https://docs.google.com/spreadsheets/d/1XWAQStnk-4SwqDmLtmXYiTMKHgktTP8We1SCoS47DrQ/edit?usp=sharing"",""จัดที่ดิน!AA83"")"),18)</f>
        <v>18</v>
      </c>
      <c r="K362" s="38">
        <f t="shared" ca="1" si="160"/>
        <v>81.818181818181813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IFERROR(__xludf.DUMMYFUNCTION("IMPORTRANGE(""https://docs.google.com/spreadsheets/d/1XWAQStnk-4SwqDmLtmXYiTMKHgktTP8We1SCoS47DrQ/edit?usp=sharing"",""จัดที่ดิน!AB83"")"),67.09)</f>
        <v>67.09</v>
      </c>
      <c r="K363" s="38">
        <f t="shared" si="160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1">I365+I374</f>
        <v>36</v>
      </c>
      <c r="J364" s="452">
        <f t="shared" ca="1" si="161"/>
        <v>31</v>
      </c>
      <c r="K364" s="453">
        <f t="shared" ca="1" si="160"/>
        <v>86.111111111111114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IFERROR(__xludf.DUMMYFUNCTION("IMPORTRANGE(""https://docs.google.com/spreadsheets/d/1QqKyyYR6Q21VydFLVH3TRQUabQu_ym0Zz7PgGX0-kHA/edit?usp=sharing"",""แผน!EJ83"")"),1)</f>
        <v>1</v>
      </c>
      <c r="J365" s="462">
        <f ca="1">J372</f>
        <v>1</v>
      </c>
      <c r="K365" s="463">
        <f t="shared" ca="1" si="160"/>
        <v>100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IFERROR(__xludf.DUMMYFUNCTION("IMPORTRANGE(""https://docs.google.com/spreadsheets/d/1XWAQStnk-4SwqDmLtmXYiTMKHgktTP8We1SCoS47DrQ/edit?usp=sharing"",""จัดที่ดิน!E83"")"),0)</f>
        <v>0</v>
      </c>
      <c r="K368" s="38">
        <f t="shared" ref="K368:K374" si="162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IFERROR(__xludf.DUMMYFUNCTION("IMPORTRANGE(""https://docs.google.com/spreadsheets/d/1QqKyyYR6Q21VydFLVH3TRQUabQu_ym0Zz7PgGX0-kHA/edit?usp=sharing"",""แผน!EI83"")"),3)</f>
        <v>3</v>
      </c>
      <c r="J369" s="37">
        <f ca="1">IFERROR(__xludf.DUMMYFUNCTION("IMPORTRANGE(""https://docs.google.com/spreadsheets/d/1XWAQStnk-4SwqDmLtmXYiTMKHgktTP8We1SCoS47DrQ/edit?usp=sharing"",""จัดที่ดิน!F83"")"),0)</f>
        <v>0</v>
      </c>
      <c r="K369" s="38">
        <f t="shared" ca="1" si="162"/>
        <v>0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IFERROR(__xludf.DUMMYFUNCTION("IMPORTRANGE(""https://docs.google.com/spreadsheets/d/1QqKyyYR6Q21VydFLVH3TRQUabQu_ym0Zz7PgGX0-kHA/edit?usp=sharing"",""แผน!EJ83"")"),1)</f>
        <v>1</v>
      </c>
      <c r="J370" s="37">
        <f ca="1">IFERROR(__xludf.DUMMYFUNCTION("IMPORTRANGE(""https://docs.google.com/spreadsheets/d/1XWAQStnk-4SwqDmLtmXYiTMKHgktTP8We1SCoS47DrQ/edit?usp=sharing"",""จัดที่ดิน!G83"")"),1)</f>
        <v>1</v>
      </c>
      <c r="K370" s="38">
        <f t="shared" ca="1" si="162"/>
        <v>100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IFERROR(__xludf.DUMMYFUNCTION("IMPORTRANGE(""https://docs.google.com/spreadsheets/d/1XWAQStnk-4SwqDmLtmXYiTMKHgktTP8We1SCoS47DrQ/edit?usp=sharing"",""จัดที่ดิน!H83"")"),1.18)</f>
        <v>1.18</v>
      </c>
      <c r="K371" s="38">
        <f t="shared" si="162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IFERROR(__xludf.DUMMYFUNCTION("IMPORTRANGE(""https://docs.google.com/spreadsheets/d/1QqKyyYR6Q21VydFLVH3TRQUabQu_ym0Zz7PgGX0-kHA/edit?usp=sharing"",""แผน!EJ83"")"),1)</f>
        <v>1</v>
      </c>
      <c r="J372" s="37">
        <f ca="1">IFERROR(__xludf.DUMMYFUNCTION("IMPORTRANGE(""https://docs.google.com/spreadsheets/d/1XWAQStnk-4SwqDmLtmXYiTMKHgktTP8We1SCoS47DrQ/edit?usp=sharing"",""จัดที่ดิน!I83"")"),1)</f>
        <v>1</v>
      </c>
      <c r="K372" s="38">
        <f t="shared" ca="1" si="162"/>
        <v>100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IFERROR(__xludf.DUMMYFUNCTION("IMPORTRANGE(""https://docs.google.com/spreadsheets/d/1XWAQStnk-4SwqDmLtmXYiTMKHgktTP8We1SCoS47DrQ/edit?usp=sharing"",""จัดที่ดิน!J83"")"),1.18)</f>
        <v>1.18</v>
      </c>
      <c r="K373" s="38">
        <f t="shared" si="162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IFERROR(__xludf.DUMMYFUNCTION("IMPORTRANGE(""https://docs.google.com/spreadsheets/d/1QqKyyYR6Q21VydFLVH3TRQUabQu_ym0Zz7PgGX0-kHA/edit?usp=sharing"",""แผน!EU83"")"),35)</f>
        <v>35</v>
      </c>
      <c r="J374" s="462">
        <f ca="1">J381</f>
        <v>30</v>
      </c>
      <c r="K374" s="463">
        <f t="shared" ca="1" si="162"/>
        <v>85.714285714285708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IFERROR(__xludf.DUMMYFUNCTION("IMPORTRANGE(""https://docs.google.com/spreadsheets/d/1XWAQStnk-4SwqDmLtmXYiTMKHgktTP8We1SCoS47DrQ/edit?usp=sharing"",""จัดที่ดิน!AH83"")"),17)</f>
        <v>17</v>
      </c>
      <c r="K377" s="38">
        <f t="shared" ref="K377:K382" si="163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IFERROR(__xludf.DUMMYFUNCTION("IMPORTRANGE(""https://docs.google.com/spreadsheets/d/1QqKyyYR6Q21VydFLVH3TRQUabQu_ym0Zz7PgGX0-kHA/edit?usp=sharing"",""แผน!ET83"")"),92)</f>
        <v>92</v>
      </c>
      <c r="J378" s="37">
        <f ca="1">IFERROR(__xludf.DUMMYFUNCTION("IMPORTRANGE(""https://docs.google.com/spreadsheets/d/1XWAQStnk-4SwqDmLtmXYiTMKHgktTP8We1SCoS47DrQ/edit?usp=sharing"",""จัดที่ดิน!AI83"")"),65.91)</f>
        <v>65.91</v>
      </c>
      <c r="K378" s="38">
        <f t="shared" ca="1" si="163"/>
        <v>71.641304347826093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IFERROR(__xludf.DUMMYFUNCTION("IMPORTRANGE(""https://docs.google.com/spreadsheets/d/1QqKyyYR6Q21VydFLVH3TRQUabQu_ym0Zz7PgGX0-kHA/edit?usp=sharing"",""แผน!EU83"")"),35)</f>
        <v>35</v>
      </c>
      <c r="J379" s="37">
        <f ca="1">IFERROR(__xludf.DUMMYFUNCTION("IMPORTRANGE(""https://docs.google.com/spreadsheets/d/1XWAQStnk-4SwqDmLtmXYiTMKHgktTP8We1SCoS47DrQ/edit?usp=sharing"",""จัดที่ดิน!AJ83"")"),30)</f>
        <v>30</v>
      </c>
      <c r="K379" s="38">
        <f t="shared" ca="1" si="163"/>
        <v>85.714285714285708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IFERROR(__xludf.DUMMYFUNCTION("IMPORTRANGE(""https://docs.google.com/spreadsheets/d/1XWAQStnk-4SwqDmLtmXYiTMKHgktTP8We1SCoS47DrQ/edit?usp=sharing"",""จัดที่ดิน!AK83"")"),280.549999999999)</f>
        <v>280.54999999999899</v>
      </c>
      <c r="K380" s="38">
        <f t="shared" si="163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IFERROR(__xludf.DUMMYFUNCTION("IMPORTRANGE(""https://docs.google.com/spreadsheets/d/1QqKyyYR6Q21VydFLVH3TRQUabQu_ym0Zz7PgGX0-kHA/edit?usp=sharing"",""แผน!EU83"")"),35)</f>
        <v>35</v>
      </c>
      <c r="J381" s="37">
        <f ca="1">IFERROR(__xludf.DUMMYFUNCTION("IMPORTRANGE(""https://docs.google.com/spreadsheets/d/1XWAQStnk-4SwqDmLtmXYiTMKHgktTP8We1SCoS47DrQ/edit?usp=sharing"",""จัดที่ดิน!AL83"")"),30)</f>
        <v>30</v>
      </c>
      <c r="K381" s="38">
        <f t="shared" ca="1" si="163"/>
        <v>85.714285714285708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IFERROR(__xludf.DUMMYFUNCTION("IMPORTRANGE(""https://docs.google.com/spreadsheets/d/1XWAQStnk-4SwqDmLtmXYiTMKHgktTP8We1SCoS47DrQ/edit?usp=sharing"",""จัดที่ดิน!AM83"")"),280.549999999999)</f>
        <v>280.54999999999899</v>
      </c>
      <c r="K382" s="38">
        <f t="shared" si="163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IFERROR(__xludf.DUMMYFUNCTION("IMPORTRANGE(""https://docs.google.com/spreadsheets/d/1QqKyyYR6Q21VydFLVH3TRQUabQu_ym0Zz7PgGX0-kHA/edit?usp=sharing"",""แผน!EW83"")"),2)</f>
        <v>2</v>
      </c>
      <c r="J385" s="365">
        <f ca="1">IFERROR(__xludf.DUMMYFUNCTION("IMPORTRANGE(""https://docs.google.com/spreadsheets/d/1XWAQStnk-4SwqDmLtmXYiTMKHgktTP8We1SCoS47DrQ/edit?usp=sharing"",""จัดที่ดิน!AP83"")"),5)</f>
        <v>5</v>
      </c>
      <c r="K385" s="475">
        <f ca="1">IF(I385&gt;0,J385*100/I385,0)</f>
        <v>250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4">I400</f>
        <v>0</v>
      </c>
      <c r="J388" s="495">
        <f t="shared" si="164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5">L390+L391</f>
        <v>0</v>
      </c>
      <c r="M389" s="154">
        <f t="shared" ca="1" si="165"/>
        <v>0</v>
      </c>
      <c r="N389" s="154">
        <f t="shared" ca="1" si="165"/>
        <v>0</v>
      </c>
      <c r="O389" s="154">
        <f t="shared" ref="O389:O397" ca="1" si="166">IF(L389&gt;0,N389*100/L389,0)</f>
        <v>0</v>
      </c>
      <c r="P389" s="154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8">L393+L396</f>
        <v>0</v>
      </c>
      <c r="M390" s="45">
        <f t="shared" si="168"/>
        <v>0</v>
      </c>
      <c r="N390" s="45">
        <f t="shared" si="168"/>
        <v>0</v>
      </c>
      <c r="O390" s="45">
        <f t="shared" si="166"/>
        <v>0</v>
      </c>
      <c r="P390" s="45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8"/>
        <v>0</v>
      </c>
      <c r="M391" s="45">
        <f t="shared" ca="1" si="168"/>
        <v>0</v>
      </c>
      <c r="N391" s="45">
        <f t="shared" ca="1" si="168"/>
        <v>0</v>
      </c>
      <c r="O391" s="45">
        <f t="shared" ca="1" si="166"/>
        <v>0</v>
      </c>
      <c r="P391" s="45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69">L393+L394</f>
        <v>0</v>
      </c>
      <c r="M392" s="38">
        <f t="shared" ca="1" si="169"/>
        <v>0</v>
      </c>
      <c r="N392" s="38">
        <f t="shared" ca="1" si="169"/>
        <v>0</v>
      </c>
      <c r="O392" s="38">
        <f t="shared" ca="1" si="166"/>
        <v>0</v>
      </c>
      <c r="P392" s="3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6"/>
        <v>0</v>
      </c>
      <c r="P393" s="45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IFERROR(__xludf.DUMMYFUNCTION("IMPORTRANGE(""https://docs.google.com/spreadsheets/d/1MeEWN-I1oV_STSDYn1IFDPWt_1FKiwhDph83XaGc0o0/edit?usp=sharing"",""งบพรบ!FG83"")"),0)</f>
        <v>0</v>
      </c>
      <c r="M394" s="45">
        <f ca="1">IFERROR(__xludf.DUMMYFUNCTION("IMPORTRANGE(""https://docs.google.com/spreadsheets/d/1MeEWN-I1oV_STSDYn1IFDPWt_1FKiwhDph83XaGc0o0/edit?usp=sharing"",""งบพรบ!FL83"")"),0)</f>
        <v>0</v>
      </c>
      <c r="N394" s="45">
        <f ca="1">IFERROR(__xludf.DUMMYFUNCTION("IMPORTRANGE(""https://docs.google.com/spreadsheets/d/1MeEWN-I1oV_STSDYn1IFDPWt_1FKiwhDph83XaGc0o0/edit?usp=sharing"",""งบพรบ!FN83"")"),0)</f>
        <v>0</v>
      </c>
      <c r="O394" s="45">
        <f t="shared" ca="1" si="166"/>
        <v>0</v>
      </c>
      <c r="P394" s="45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0">L396+L397</f>
        <v>0</v>
      </c>
      <c r="M395" s="38">
        <f t="shared" ca="1" si="170"/>
        <v>0</v>
      </c>
      <c r="N395" s="38">
        <f t="shared" ca="1" si="170"/>
        <v>0</v>
      </c>
      <c r="O395" s="38">
        <f t="shared" ca="1" si="166"/>
        <v>0</v>
      </c>
      <c r="P395" s="3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6"/>
        <v>0</v>
      </c>
      <c r="P396" s="45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IFERROR(__xludf.DUMMYFUNCTION("IMPORTRANGE(""https://docs.google.com/spreadsheets/d/1MeEWN-I1oV_STSDYn1IFDPWt_1FKiwhDph83XaGc0o0/edit?usp=sharing"",""งบพรบ!FJ83"")"),0)</f>
        <v>0</v>
      </c>
      <c r="M397" s="45">
        <f ca="1">IFERROR(__xludf.DUMMYFUNCTION("IMPORTRANGE(""https://docs.google.com/spreadsheets/d/1MeEWN-I1oV_STSDYn1IFDPWt_1FKiwhDph83XaGc0o0/edit?usp=sharing"",""งบพรบ!FM83"")"),0)</f>
        <v>0</v>
      </c>
      <c r="N397" s="45">
        <f ca="1">IFERROR(__xludf.DUMMYFUNCTION("IMPORTRANGE(""https://docs.google.com/spreadsheets/d/1MeEWN-I1oV_STSDYn1IFDPWt_1FKiwhDph83XaGc0o0/edit?usp=sharing"",""งบพรบ!FO83"")"),0)</f>
        <v>0</v>
      </c>
      <c r="O397" s="45">
        <f t="shared" ca="1" si="166"/>
        <v>0</v>
      </c>
      <c r="P397" s="45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1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1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2">I412</f>
        <v>0</v>
      </c>
      <c r="J401" s="495">
        <f t="shared" si="172"/>
        <v>0</v>
      </c>
      <c r="K401" s="496">
        <f t="shared" si="171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3">L403+L404</f>
        <v>0</v>
      </c>
      <c r="M402" s="154">
        <f t="shared" ca="1" si="173"/>
        <v>0</v>
      </c>
      <c r="N402" s="154">
        <f t="shared" ca="1" si="173"/>
        <v>0</v>
      </c>
      <c r="O402" s="154">
        <f t="shared" ref="O402:O410" ca="1" si="174">IF(L402&gt;0,N402*100/L402,0)</f>
        <v>0</v>
      </c>
      <c r="P402" s="154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6">L406+L409</f>
        <v>0</v>
      </c>
      <c r="M403" s="45">
        <f t="shared" si="176"/>
        <v>0</v>
      </c>
      <c r="N403" s="45">
        <f t="shared" si="176"/>
        <v>0</v>
      </c>
      <c r="O403" s="45">
        <f t="shared" si="174"/>
        <v>0</v>
      </c>
      <c r="P403" s="45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6"/>
        <v>0</v>
      </c>
      <c r="M404" s="45">
        <f t="shared" ca="1" si="176"/>
        <v>0</v>
      </c>
      <c r="N404" s="45">
        <f t="shared" ca="1" si="176"/>
        <v>0</v>
      </c>
      <c r="O404" s="45">
        <f t="shared" ca="1" si="174"/>
        <v>0</v>
      </c>
      <c r="P404" s="45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7">L406+L407</f>
        <v>0</v>
      </c>
      <c r="M405" s="38">
        <f t="shared" ca="1" si="177"/>
        <v>0</v>
      </c>
      <c r="N405" s="38">
        <f t="shared" ca="1" si="177"/>
        <v>0</v>
      </c>
      <c r="O405" s="38">
        <f t="shared" ca="1" si="174"/>
        <v>0</v>
      </c>
      <c r="P405" s="3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4"/>
        <v>0</v>
      </c>
      <c r="P406" s="45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IFERROR(__xludf.DUMMYFUNCTION("IMPORTRANGE(""https://docs.google.com/spreadsheets/d/1MeEWN-I1oV_STSDYn1IFDPWt_1FKiwhDph83XaGc0o0/edit?usp=sharing"",""งบพรบ!FQ83"")"),0)</f>
        <v>0</v>
      </c>
      <c r="M407" s="45">
        <f ca="1">IFERROR(__xludf.DUMMYFUNCTION("IMPORTRANGE(""https://docs.google.com/spreadsheets/d/1MeEWN-I1oV_STSDYn1IFDPWt_1FKiwhDph83XaGc0o0/edit?usp=sharing"",""งบพรบ!FV83"")"),0)</f>
        <v>0</v>
      </c>
      <c r="N407" s="45">
        <f ca="1">IFERROR(__xludf.DUMMYFUNCTION("IMPORTRANGE(""https://docs.google.com/spreadsheets/d/1MeEWN-I1oV_STSDYn1IFDPWt_1FKiwhDph83XaGc0o0/edit?usp=sharing"",""งบพรบ!FX83"")"),0)</f>
        <v>0</v>
      </c>
      <c r="O407" s="45">
        <f t="shared" ca="1" si="174"/>
        <v>0</v>
      </c>
      <c r="P407" s="45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8">L409+L410</f>
        <v>0</v>
      </c>
      <c r="M408" s="38">
        <f t="shared" ca="1" si="178"/>
        <v>0</v>
      </c>
      <c r="N408" s="38">
        <f t="shared" ca="1" si="178"/>
        <v>0</v>
      </c>
      <c r="O408" s="38">
        <f t="shared" ca="1" si="174"/>
        <v>0</v>
      </c>
      <c r="P408" s="3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4"/>
        <v>0</v>
      </c>
      <c r="P409" s="45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IFERROR(__xludf.DUMMYFUNCTION("IMPORTRANGE(""https://docs.google.com/spreadsheets/d/1MeEWN-I1oV_STSDYn1IFDPWt_1FKiwhDph83XaGc0o0/edit?usp=sharing"",""งบพรบ!FT83"")"),0)</f>
        <v>0</v>
      </c>
      <c r="M410" s="45">
        <f ca="1">IFERROR(__xludf.DUMMYFUNCTION("IMPORTRANGE(""https://docs.google.com/spreadsheets/d/1MeEWN-I1oV_STSDYn1IFDPWt_1FKiwhDph83XaGc0o0/edit?usp=sharing"",""งบพรบ!FW83"")"),0)</f>
        <v>0</v>
      </c>
      <c r="N410" s="45">
        <f ca="1">IFERROR(__xludf.DUMMYFUNCTION("IMPORTRANGE(""https://docs.google.com/spreadsheets/d/1MeEWN-I1oV_STSDYn1IFDPWt_1FKiwhDph83XaGc0o0/edit?usp=sharing"",""งบพรบ!FY83"")"),0)</f>
        <v>0</v>
      </c>
      <c r="O410" s="45">
        <f t="shared" ca="1" si="174"/>
        <v>0</v>
      </c>
      <c r="P410" s="45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79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79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0">L419+L444+L467+L502+L523+L544+L629+L655+L685+L737+L754+L770+L786+L805</f>
        <v>350883</v>
      </c>
      <c r="M414" s="521">
        <f t="shared" ca="1" si="180"/>
        <v>350883</v>
      </c>
      <c r="N414" s="521">
        <f t="shared" si="180"/>
        <v>322161.5</v>
      </c>
      <c r="O414" s="521">
        <f ca="1">IF(L414&gt;0,N414*100/L414,0)</f>
        <v>91.8145079698931</v>
      </c>
      <c r="P414" s="521">
        <f ca="1">IF(M414&gt;0,N414*100/M414,0)</f>
        <v>91.8145079698931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1">I433</f>
        <v>10</v>
      </c>
      <c r="J417" s="536">
        <f t="shared" ca="1" si="181"/>
        <v>10</v>
      </c>
      <c r="K417" s="537">
        <f t="shared" ref="K417:K418" ca="1" si="182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1"/>
        <v>1</v>
      </c>
      <c r="J418" s="536">
        <f t="shared" si="181"/>
        <v>1</v>
      </c>
      <c r="K418" s="537">
        <f t="shared" ca="1" si="182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3">L420+L421</f>
        <v>54560</v>
      </c>
      <c r="M419" s="154">
        <f t="shared" ca="1" si="183"/>
        <v>54560</v>
      </c>
      <c r="N419" s="154">
        <f t="shared" si="183"/>
        <v>54560</v>
      </c>
      <c r="O419" s="154">
        <f t="shared" ref="O419:O424" ca="1" si="184">IF(L419&gt;0,N419*100/L419,0)</f>
        <v>100</v>
      </c>
      <c r="P419" s="154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6">L423+L430</f>
        <v>0</v>
      </c>
      <c r="M420" s="45">
        <f t="shared" si="186"/>
        <v>0</v>
      </c>
      <c r="N420" s="45">
        <f t="shared" si="186"/>
        <v>0</v>
      </c>
      <c r="O420" s="45">
        <f t="shared" si="184"/>
        <v>0</v>
      </c>
      <c r="P420" s="45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6"/>
        <v>54560</v>
      </c>
      <c r="M421" s="45">
        <f t="shared" ca="1" si="186"/>
        <v>54560</v>
      </c>
      <c r="N421" s="45">
        <f t="shared" si="186"/>
        <v>54560</v>
      </c>
      <c r="O421" s="45">
        <f t="shared" ca="1" si="184"/>
        <v>100</v>
      </c>
      <c r="P421" s="45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7">L423+L424</f>
        <v>54560</v>
      </c>
      <c r="M422" s="38">
        <f t="shared" ca="1" si="187"/>
        <v>54560</v>
      </c>
      <c r="N422" s="38">
        <f t="shared" si="187"/>
        <v>54560</v>
      </c>
      <c r="O422" s="38">
        <f t="shared" ca="1" si="184"/>
        <v>100</v>
      </c>
      <c r="P422" s="38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4"/>
        <v>0</v>
      </c>
      <c r="P423" s="45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IFERROR(__xludf.DUMMYFUNCTION("IMPORTRANGE(""https://docs.google.com/spreadsheets/d/1QqKyyYR6Q21VydFLVH3TRQUabQu_ym0Zz7PgGX0-kHA/edit?usp=sharing"",""แผน!EY83"")"),54560)</f>
        <v>54560</v>
      </c>
      <c r="M424" s="45">
        <f ca="1">L424</f>
        <v>54560</v>
      </c>
      <c r="N424" s="45">
        <f>N425+N426+N427+N428</f>
        <v>54560</v>
      </c>
      <c r="O424" s="45">
        <f t="shared" ca="1" si="184"/>
        <v>100</v>
      </c>
      <c r="P424" s="45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24300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30260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8">L430+L431</f>
        <v>0</v>
      </c>
      <c r="M429" s="38">
        <f t="shared" si="188"/>
        <v>0</v>
      </c>
      <c r="N429" s="38">
        <f t="shared" si="188"/>
        <v>0</v>
      </c>
      <c r="O429" s="38">
        <f t="shared" ref="O429:O431" ca="1" si="189">IF(L429&gt;0,N429*100/L429,0)</f>
        <v>0</v>
      </c>
      <c r="P429" s="3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89"/>
        <v>0</v>
      </c>
      <c r="P430" s="45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IFERROR(__xludf.DUMMYFUNCTION("IMPORTRANGE(""https://docs.google.com/spreadsheets/d/1QqKyyYR6Q21VydFLVH3TRQUabQu_ym0Zz7PgGX0-kHA/edit?usp=sharing"",""แผน!FB83"")"),0)</f>
        <v>0</v>
      </c>
      <c r="M431" s="45">
        <v>0</v>
      </c>
      <c r="N431" s="45">
        <v>0</v>
      </c>
      <c r="O431" s="45">
        <f t="shared" ca="1" si="189"/>
        <v>0</v>
      </c>
      <c r="P431" s="45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10</v>
      </c>
      <c r="J433" s="190">
        <f ca="1">IF(AND(J435=I435,J437=I437,J439=I439),I437+I439,IF(AND(J435=I437,J437=I437),I437,IF(AND(J435=I439,J439=I439),I439,0)))</f>
        <v>10</v>
      </c>
      <c r="K433" s="191">
        <f t="shared" ref="K433:K435" ca="1" si="191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2">I438+I440</f>
        <v>1</v>
      </c>
      <c r="J434" s="190">
        <f t="shared" si="192"/>
        <v>1</v>
      </c>
      <c r="K434" s="191">
        <f t="shared" ca="1" si="191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IFERROR(__xludf.DUMMYFUNCTION("IMPORTRANGE(""https://docs.google.com/spreadsheets/d/1QqKyyYR6Q21VydFLVH3TRQUabQu_ym0Zz7PgGX0-kHA/edit?usp=sharing"",""แผน!FC83"")"),10)</f>
        <v>10</v>
      </c>
      <c r="J435" s="549">
        <v>10</v>
      </c>
      <c r="K435" s="38">
        <f t="shared" ca="1" si="191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IFERROR(__xludf.DUMMYFUNCTION("IMPORTRANGE(""https://docs.google.com/spreadsheets/d/1QqKyyYR6Q21VydFLVH3TRQUabQu_ym0Zz7PgGX0-kHA/edit?usp=sharing"",""แผน!FD83"")"),0)</f>
        <v>0</v>
      </c>
      <c r="J437" s="549">
        <v>0</v>
      </c>
      <c r="K437" s="38">
        <f t="shared" ref="K437:K443" ca="1" si="193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IFERROR(__xludf.DUMMYFUNCTION("IMPORTRANGE(""https://docs.google.com/spreadsheets/d/1QqKyyYR6Q21VydFLVH3TRQUabQu_ym0Zz7PgGX0-kHA/edit?usp=sharing"",""แผน!FE83"")"),0)</f>
        <v>0</v>
      </c>
      <c r="J438" s="181">
        <v>0</v>
      </c>
      <c r="K438" s="38">
        <f t="shared" ca="1" si="193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IFERROR(__xludf.DUMMYFUNCTION("IMPORTRANGE(""https://docs.google.com/spreadsheets/d/1QqKyyYR6Q21VydFLVH3TRQUabQu_ym0Zz7PgGX0-kHA/edit?usp=sharing"",""แผน!FF83"")"),10)</f>
        <v>10</v>
      </c>
      <c r="J439" s="549">
        <v>10</v>
      </c>
      <c r="K439" s="38">
        <f t="shared" ca="1" si="193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IFERROR(__xludf.DUMMYFUNCTION("IMPORTRANGE(""https://docs.google.com/spreadsheets/d/1QqKyyYR6Q21VydFLVH3TRQUabQu_ym0Zz7PgGX0-kHA/edit?usp=sharing"",""แผน!FG83"")"),1)</f>
        <v>1</v>
      </c>
      <c r="J440" s="181">
        <v>1</v>
      </c>
      <c r="K440" s="38">
        <f t="shared" ca="1" si="193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IFERROR(__xludf.DUMMYFUNCTION("IMPORTRANGE(""https://docs.google.com/spreadsheets/d/1QqKyyYR6Q21VydFLVH3TRQUabQu_ym0Zz7PgGX0-kHA/edit?usp=sharing"",""แผน!FH83"")"),0)</f>
        <v>0</v>
      </c>
      <c r="J441" s="37">
        <v>0</v>
      </c>
      <c r="K441" s="38">
        <f t="shared" ca="1" si="193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4">I460</f>
        <v>20</v>
      </c>
      <c r="J442" s="555">
        <f t="shared" si="194"/>
        <v>20</v>
      </c>
      <c r="K442" s="556">
        <f t="shared" ca="1" si="193"/>
        <v>100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5">I462</f>
        <v>40</v>
      </c>
      <c r="J443" s="536">
        <f t="shared" si="195"/>
        <v>40</v>
      </c>
      <c r="K443" s="537">
        <f t="shared" ca="1" si="193"/>
        <v>100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6">L445+L446</f>
        <v>109560</v>
      </c>
      <c r="M444" s="191">
        <f t="shared" ca="1" si="196"/>
        <v>109560</v>
      </c>
      <c r="N444" s="191">
        <f t="shared" si="196"/>
        <v>103790</v>
      </c>
      <c r="O444" s="191">
        <f t="shared" ref="O444:O449" ca="1" si="197">IF(L444&gt;0,N444*100/L444,0)</f>
        <v>94.733479372033585</v>
      </c>
      <c r="P444" s="191">
        <f t="shared" ref="P444:P449" ca="1" si="198">IF(M444&gt;0,N444*100/M444,0)</f>
        <v>94.733479372033585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199">L448+L455</f>
        <v>0</v>
      </c>
      <c r="M445" s="45">
        <f t="shared" si="199"/>
        <v>0</v>
      </c>
      <c r="N445" s="45">
        <f t="shared" si="199"/>
        <v>0</v>
      </c>
      <c r="O445" s="45">
        <f t="shared" si="197"/>
        <v>0</v>
      </c>
      <c r="P445" s="45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199"/>
        <v>109560</v>
      </c>
      <c r="M446" s="45">
        <f t="shared" ca="1" si="199"/>
        <v>109560</v>
      </c>
      <c r="N446" s="45">
        <f t="shared" si="199"/>
        <v>103790</v>
      </c>
      <c r="O446" s="45">
        <f t="shared" ca="1" si="197"/>
        <v>94.733479372033585</v>
      </c>
      <c r="P446" s="45">
        <f t="shared" ca="1" si="198"/>
        <v>94.733479372033585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0">L448+L449</f>
        <v>109560</v>
      </c>
      <c r="M447" s="38">
        <f t="shared" ca="1" si="200"/>
        <v>109560</v>
      </c>
      <c r="N447" s="38">
        <f t="shared" si="200"/>
        <v>103790</v>
      </c>
      <c r="O447" s="38">
        <f t="shared" ca="1" si="197"/>
        <v>94.733479372033585</v>
      </c>
      <c r="P447" s="38">
        <f t="shared" ca="1" si="198"/>
        <v>94.733479372033585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7"/>
        <v>0</v>
      </c>
      <c r="P448" s="45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IFERROR(__xludf.DUMMYFUNCTION("IMPORTRANGE(""https://docs.google.com/spreadsheets/d/1QqKyyYR6Q21VydFLVH3TRQUabQu_ym0Zz7PgGX0-kHA/edit?usp=sharing"",""แผน!FJ83"")"),109560)</f>
        <v>109560</v>
      </c>
      <c r="M449" s="45">
        <f ca="1">L449</f>
        <v>109560</v>
      </c>
      <c r="N449" s="45">
        <f>N450+N451+N452+N453</f>
        <v>103790</v>
      </c>
      <c r="O449" s="45">
        <f t="shared" ca="1" si="197"/>
        <v>94.733479372033585</v>
      </c>
      <c r="P449" s="45">
        <f t="shared" ca="1" si="198"/>
        <v>94.733479372033585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29600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54000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20190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1">L455+L456</f>
        <v>0</v>
      </c>
      <c r="M454" s="38">
        <f t="shared" si="201"/>
        <v>0</v>
      </c>
      <c r="N454" s="38">
        <f t="shared" si="201"/>
        <v>0</v>
      </c>
      <c r="O454" s="38">
        <f t="shared" ref="O454:O456" ca="1" si="202">IF(L454&gt;0,N454*100/L454,0)</f>
        <v>0</v>
      </c>
      <c r="P454" s="38">
        <f t="shared" ref="P454:P456" si="203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2"/>
        <v>0</v>
      </c>
      <c r="P455" s="45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IFERROR(__xludf.DUMMYFUNCTION("IMPORTRANGE(""https://docs.google.com/spreadsheets/d/1QqKyyYR6Q21VydFLVH3TRQUabQu_ym0Zz7PgGX0-kHA/edit?usp=sharing"",""แผน!FM83"")"),0)</f>
        <v>0</v>
      </c>
      <c r="M456" s="45">
        <v>0</v>
      </c>
      <c r="N456" s="45">
        <v>0</v>
      </c>
      <c r="O456" s="45">
        <f t="shared" ca="1" si="202"/>
        <v>0</v>
      </c>
      <c r="P456" s="45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IFERROR(__xludf.DUMMYFUNCTION("IMPORTRANGE(""https://docs.google.com/spreadsheets/d/1QqKyyYR6Q21VydFLVH3TRQUabQu_ym0Zz7PgGX0-kHA/edit?usp=sharing"",""แผน!FN83"")"),20)</f>
        <v>20</v>
      </c>
      <c r="J460" s="181">
        <v>20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IFERROR(__xludf.DUMMYFUNCTION("IMPORTRANGE(""https://docs.google.com/spreadsheets/d/1QqKyyYR6Q21VydFLVH3TRQUabQu_ym0Zz7PgGX0-kHA/edit?usp=sharing"",""แผน!FO83"")"),40)</f>
        <v>40</v>
      </c>
      <c r="J462" s="181">
        <v>40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IFERROR(__xludf.DUMMYFUNCTION("IMPORTRANGE(""https://docs.google.com/spreadsheets/d/1QqKyyYR6Q21VydFLVH3TRQUabQu_ym0Zz7PgGX0-kHA/edit?usp=sharing"",""แผน!FO83"")"),40)</f>
        <v>40</v>
      </c>
      <c r="J463" s="181">
        <v>20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IFERROR(__xludf.DUMMYFUNCTION("IMPORTRANGE(""https://docs.google.com/spreadsheets/d/1QqKyyYR6Q21VydFLVH3TRQUabQu_ym0Zz7PgGX0-kHA/edit?usp=sharing"",""แผน!FN83"")"),20)</f>
        <v>20</v>
      </c>
      <c r="J464" s="181">
        <v>20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IFERROR(__xludf.DUMMYFUNCTION("IMPORTRANGE(""https://docs.google.com/spreadsheets/d/1QqKyyYR6Q21VydFLVH3TRQUabQu_ym0Zz7PgGX0-kHA/edit?usp=sharing"",""แผน!FX83"")"),11)</f>
        <v>11</v>
      </c>
      <c r="J465" s="555">
        <f>J485+J489+J492</f>
        <v>11</v>
      </c>
      <c r="K465" s="556">
        <f t="shared" ref="K465:K466" ca="1" si="204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IFERROR(__xludf.DUMMYFUNCTION("IMPORTRANGE(""https://docs.google.com/spreadsheets/d/1QqKyyYR6Q21VydFLVH3TRQUabQu_ym0Zz7PgGX0-kHA/edit?usp=sharing"",""แผน!FW83"")"),100)</f>
        <v>100</v>
      </c>
      <c r="J466" s="536">
        <f>J495+J498</f>
        <v>100</v>
      </c>
      <c r="K466" s="537">
        <f t="shared" ca="1" si="204"/>
        <v>100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5">L468+L469</f>
        <v>111463</v>
      </c>
      <c r="M467" s="191">
        <f t="shared" ca="1" si="205"/>
        <v>111463</v>
      </c>
      <c r="N467" s="191">
        <f t="shared" si="205"/>
        <v>111463</v>
      </c>
      <c r="O467" s="191">
        <f t="shared" ref="O467:O472" ca="1" si="206">IF(L467&gt;0,N467*100/L467,0)</f>
        <v>100</v>
      </c>
      <c r="P467" s="191">
        <f t="shared" ref="P467:P472" ca="1" si="207">IF(M467&gt;0,N467*100/M467,0)</f>
        <v>100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8">L471+L478</f>
        <v>0</v>
      </c>
      <c r="M468" s="45">
        <f t="shared" si="208"/>
        <v>0</v>
      </c>
      <c r="N468" s="45">
        <f t="shared" si="208"/>
        <v>0</v>
      </c>
      <c r="O468" s="45">
        <f t="shared" si="206"/>
        <v>0</v>
      </c>
      <c r="P468" s="45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8"/>
        <v>111463</v>
      </c>
      <c r="M469" s="45">
        <f t="shared" ca="1" si="208"/>
        <v>111463</v>
      </c>
      <c r="N469" s="45">
        <f t="shared" si="208"/>
        <v>111463</v>
      </c>
      <c r="O469" s="45">
        <f t="shared" ca="1" si="206"/>
        <v>100</v>
      </c>
      <c r="P469" s="45">
        <f t="shared" ca="1" si="207"/>
        <v>100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09">L471+L472</f>
        <v>111463</v>
      </c>
      <c r="M470" s="38">
        <f t="shared" ca="1" si="209"/>
        <v>111463</v>
      </c>
      <c r="N470" s="38">
        <f t="shared" si="209"/>
        <v>111463</v>
      </c>
      <c r="O470" s="38">
        <f t="shared" ca="1" si="206"/>
        <v>100</v>
      </c>
      <c r="P470" s="38">
        <f t="shared" ca="1" si="207"/>
        <v>100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6"/>
        <v>0</v>
      </c>
      <c r="P471" s="45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IFERROR(__xludf.DUMMYFUNCTION("IMPORTRANGE(""https://docs.google.com/spreadsheets/d/1QqKyyYR6Q21VydFLVH3TRQUabQu_ym0Zz7PgGX0-kHA/edit?usp=sharing"",""แผน!FS83"")"),111463)</f>
        <v>111463</v>
      </c>
      <c r="M472" s="45">
        <f ca="1">L472</f>
        <v>111463</v>
      </c>
      <c r="N472" s="45">
        <f>N473+N474+N475+N476</f>
        <v>111463</v>
      </c>
      <c r="O472" s="45">
        <f t="shared" ca="1" si="206"/>
        <v>100</v>
      </c>
      <c r="P472" s="45">
        <f t="shared" ca="1" si="207"/>
        <v>100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13040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66000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32423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0">L478+L479</f>
        <v>0</v>
      </c>
      <c r="M477" s="38">
        <f t="shared" si="210"/>
        <v>0</v>
      </c>
      <c r="N477" s="38">
        <f t="shared" si="210"/>
        <v>0</v>
      </c>
      <c r="O477" s="38">
        <f t="shared" ref="O477:O479" ca="1" si="211">IF(L477&gt;0,N477*100/L477,0)</f>
        <v>0</v>
      </c>
      <c r="P477" s="38">
        <f t="shared" ref="P477:P479" si="212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1"/>
        <v>0</v>
      </c>
      <c r="P478" s="45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IFERROR(__xludf.DUMMYFUNCTION("IMPORTRANGE(""https://docs.google.com/spreadsheets/d/1QqKyyYR6Q21VydFLVH3TRQUabQu_ym0Zz7PgGX0-kHA/edit?usp=sharing"",""แผน!FV83"")"),0)</f>
        <v>0</v>
      </c>
      <c r="M479" s="45">
        <v>0</v>
      </c>
      <c r="N479" s="45">
        <v>0</v>
      </c>
      <c r="O479" s="45">
        <f t="shared" ca="1" si="211"/>
        <v>0</v>
      </c>
      <c r="P479" s="45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IFERROR(__xludf.DUMMYFUNCTION("IMPORTRANGE(""https://docs.google.com/spreadsheets/d/1QqKyyYR6Q21VydFLVH3TRQUabQu_ym0Zz7PgGX0-kHA/edit?usp=sharing"",""แผน!FY83"")"),90)</f>
        <v>90</v>
      </c>
      <c r="J483" s="181">
        <v>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9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IFERROR(__xludf.DUMMYFUNCTION("IMPORTRANGE(""https://docs.google.com/spreadsheets/d/1QqKyyYR6Q21VydFLVH3TRQUabQu_ym0Zz7PgGX0-kHA/edit?usp=sharing"",""แผน!FZ83"")"),9)</f>
        <v>9</v>
      </c>
      <c r="J485" s="181">
        <v>9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IFERROR(__xludf.DUMMYFUNCTION("IMPORTRANGE(""https://docs.google.com/spreadsheets/d/1QqKyyYR6Q21VydFLVH3TRQUabQu_ym0Zz7PgGX0-kHA/edit?usp=sharing"",""แผน!GA83"")"),10)</f>
        <v>10</v>
      </c>
      <c r="J487" s="181">
        <v>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1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IFERROR(__xludf.DUMMYFUNCTION("IMPORTRANGE(""https://docs.google.com/spreadsheets/d/1QqKyyYR6Q21VydFLVH3TRQUabQu_ym0Zz7PgGX0-kHA/edit?usp=sharing"",""แผน!GB83"")"),1)</f>
        <v>1</v>
      </c>
      <c r="J489" s="181">
        <v>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IFERROR(__xludf.DUMMYFUNCTION("IMPORTRANGE(""https://docs.google.com/spreadsheets/d/1QqKyyYR6Q21VydFLVH3TRQUabQu_ym0Zz7PgGX0-kHA/edit?usp=sharing"",""แผน!GC83"")"),1)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IFERROR(__xludf.DUMMYFUNCTION("IMPORTRANGE(""https://docs.google.com/spreadsheets/d/1QqKyyYR6Q21VydFLVH3TRQUabQu_ym0Zz7PgGX0-kHA/edit?usp=sharing"",""แผน!FY83"")"),90)</f>
        <v>90</v>
      </c>
      <c r="J495" s="181">
        <v>90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IFERROR(__xludf.DUMMYFUNCTION("IMPORTRANGE(""https://docs.google.com/spreadsheets/d/1QqKyyYR6Q21VydFLVH3TRQUabQu_ym0Zz7PgGX0-kHA/edit?usp=sharing"",""แผน!GA83"")"),10)</f>
        <v>10</v>
      </c>
      <c r="J498" s="181">
        <v>10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3">J516</f>
        <v>0</v>
      </c>
      <c r="K500" s="589">
        <f t="shared" ref="K500:K501" si="214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3"/>
        <v>0</v>
      </c>
      <c r="K501" s="597">
        <f t="shared" si="214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5">L503+L504</f>
        <v>0</v>
      </c>
      <c r="M502" s="601">
        <f t="shared" si="215"/>
        <v>0</v>
      </c>
      <c r="N502" s="601">
        <f t="shared" si="215"/>
        <v>0</v>
      </c>
      <c r="O502" s="601">
        <f t="shared" ref="O502:O507" si="216">IF(L502&gt;0,N502*100/L502,0)</f>
        <v>0</v>
      </c>
      <c r="P502" s="601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8">L506+L513</f>
        <v>0</v>
      </c>
      <c r="M503" s="45">
        <f t="shared" si="218"/>
        <v>0</v>
      </c>
      <c r="N503" s="45">
        <f t="shared" si="218"/>
        <v>0</v>
      </c>
      <c r="O503" s="45">
        <f t="shared" si="216"/>
        <v>0</v>
      </c>
      <c r="P503" s="45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8"/>
        <v>0</v>
      </c>
      <c r="M504" s="45">
        <f t="shared" si="218"/>
        <v>0</v>
      </c>
      <c r="N504" s="45">
        <f t="shared" si="218"/>
        <v>0</v>
      </c>
      <c r="O504" s="45">
        <f t="shared" si="216"/>
        <v>0</v>
      </c>
      <c r="P504" s="45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19">L506+L507</f>
        <v>0</v>
      </c>
      <c r="M505" s="45">
        <f t="shared" si="219"/>
        <v>0</v>
      </c>
      <c r="N505" s="45">
        <f t="shared" si="219"/>
        <v>0</v>
      </c>
      <c r="O505" s="45">
        <f t="shared" si="216"/>
        <v>0</v>
      </c>
      <c r="P505" s="45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6"/>
        <v>0</v>
      </c>
      <c r="P506" s="45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6"/>
        <v>0</v>
      </c>
      <c r="P507" s="45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0">L513+L514</f>
        <v>0</v>
      </c>
      <c r="M512" s="45">
        <f t="shared" si="220"/>
        <v>0</v>
      </c>
      <c r="N512" s="45">
        <f t="shared" si="220"/>
        <v>0</v>
      </c>
      <c r="O512" s="45">
        <f t="shared" ref="O512:O514" si="221">IF(L512&gt;0,N512*100/L512,0)</f>
        <v>0</v>
      </c>
      <c r="P512" s="45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1"/>
        <v>0</v>
      </c>
      <c r="P513" s="45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1"/>
        <v>0</v>
      </c>
      <c r="P514" s="45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3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3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 hidden="1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 hidden="1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4">I537</f>
        <v>0</v>
      </c>
      <c r="J522" s="630">
        <f t="shared" ca="1" si="224"/>
        <v>0</v>
      </c>
      <c r="K522" s="631">
        <f ca="1">IF(I522&gt;0,J522*100/I522,0)</f>
        <v>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 hidden="1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8">L527+L534</f>
        <v>0</v>
      </c>
      <c r="M524" s="45">
        <f t="shared" si="228"/>
        <v>0</v>
      </c>
      <c r="N524" s="45">
        <f t="shared" si="228"/>
        <v>0</v>
      </c>
      <c r="O524" s="45">
        <f t="shared" si="226"/>
        <v>0</v>
      </c>
      <c r="P524" s="45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8"/>
        <v>0</v>
      </c>
      <c r="M525" s="45">
        <f t="shared" si="228"/>
        <v>0</v>
      </c>
      <c r="N525" s="45">
        <f t="shared" si="228"/>
        <v>0</v>
      </c>
      <c r="O525" s="45">
        <f t="shared" ca="1" si="226"/>
        <v>0</v>
      </c>
      <c r="P525" s="45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 hidden="1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29">L527+L528</f>
        <v>0</v>
      </c>
      <c r="M526" s="38">
        <f t="shared" si="229"/>
        <v>0</v>
      </c>
      <c r="N526" s="38">
        <f t="shared" si="229"/>
        <v>0</v>
      </c>
      <c r="O526" s="38">
        <f t="shared" ca="1" si="226"/>
        <v>0</v>
      </c>
      <c r="P526" s="38">
        <f t="shared" si="227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6"/>
        <v>0</v>
      </c>
      <c r="P527" s="45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IFERROR(__xludf.DUMMYFUNCTION("IMPORTRANGE(""https://docs.google.com/spreadsheets/d/1QqKyyYR6Q21VydFLVH3TRQUabQu_ym0Zz7PgGX0-kHA/edit?usp=sharing"",""แผน!GQ83"")"),0)</f>
        <v>0</v>
      </c>
      <c r="M528" s="45">
        <v>0</v>
      </c>
      <c r="N528" s="45">
        <f>N529+N530+N531+N532</f>
        <v>0</v>
      </c>
      <c r="O528" s="45">
        <f t="shared" ca="1" si="226"/>
        <v>0</v>
      </c>
      <c r="P528" s="45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 hidden="1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 hidden="1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 hidden="1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 hidden="1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 hidden="1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0">L534+L535</f>
        <v>0</v>
      </c>
      <c r="M533" s="38">
        <f t="shared" si="230"/>
        <v>0</v>
      </c>
      <c r="N533" s="38">
        <f t="shared" si="230"/>
        <v>0</v>
      </c>
      <c r="O533" s="38">
        <f t="shared" ref="O533:O535" ca="1" si="231">IF(L533&gt;0,N533*100/L533,0)</f>
        <v>0</v>
      </c>
      <c r="P533" s="38">
        <f t="shared" ref="P533:P535" si="232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1"/>
        <v>0</v>
      </c>
      <c r="P534" s="45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IFERROR(__xludf.DUMMYFUNCTION("IMPORTRANGE(""https://docs.google.com/spreadsheets/d/1QqKyyYR6Q21VydFLVH3TRQUabQu_ym0Zz7PgGX0-kHA/edit?usp=sharing"",""แผน!GT83"")"),0)</f>
        <v>0</v>
      </c>
      <c r="M535" s="45">
        <v>0</v>
      </c>
      <c r="N535" s="45">
        <v>0</v>
      </c>
      <c r="O535" s="45">
        <f t="shared" ca="1" si="231"/>
        <v>0</v>
      </c>
      <c r="P535" s="45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 hidden="1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 hidden="1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IFERROR(__xludf.DUMMYFUNCTION("IMPORTRANGE(""https://docs.google.com/spreadsheets/d/1QqKyyYR6Q21VydFLVH3TRQUabQu_ym0Zz7PgGX0-kHA/edit?usp=sharing"",""แผน!GU83"")"),0)</f>
        <v>0</v>
      </c>
      <c r="J537" s="190">
        <f ca="1">IF(AND(J538=I538,J539=I539,J540=I540,J541=I541),I537,0)</f>
        <v>0</v>
      </c>
      <c r="K537" s="38">
        <f t="shared" ref="K537:K543" ca="1" si="233">IF(I537&gt;0,J537*100/I537,0)</f>
        <v>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 hidden="1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IFERROR(__xludf.DUMMYFUNCTION("IMPORTRANGE(""https://docs.google.com/spreadsheets/d/1QqKyyYR6Q21VydFLVH3TRQUabQu_ym0Zz7PgGX0-kHA/edit?usp=sharing"",""แผน!GV83"")"),0)</f>
        <v>0</v>
      </c>
      <c r="J538" s="181">
        <v>0</v>
      </c>
      <c r="K538" s="38">
        <f t="shared" ca="1" si="233"/>
        <v>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 hidden="1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IFERROR(__xludf.DUMMYFUNCTION("IMPORTRANGE(""https://docs.google.com/spreadsheets/d/1QqKyyYR6Q21VydFLVH3TRQUabQu_ym0Zz7PgGX0-kHA/edit?usp=sharing"",""แผน!GW83"")"),0)</f>
        <v>0</v>
      </c>
      <c r="J539" s="181">
        <v>0</v>
      </c>
      <c r="K539" s="38">
        <f t="shared" ca="1" si="233"/>
        <v>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 hidden="1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IFERROR(__xludf.DUMMYFUNCTION("IMPORTRANGE(""https://docs.google.com/spreadsheets/d/1QqKyyYR6Q21VydFLVH3TRQUabQu_ym0Zz7PgGX0-kHA/edit?usp=sharing"",""แผน!GX83"")"),0)</f>
        <v>0</v>
      </c>
      <c r="J540" s="181">
        <v>0</v>
      </c>
      <c r="K540" s="38">
        <f t="shared" ca="1" si="233"/>
        <v>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 hidden="1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IFERROR(__xludf.DUMMYFUNCTION("IMPORTRANGE(""https://docs.google.com/spreadsheets/d/1QqKyyYR6Q21VydFLVH3TRQUabQu_ym0Zz7PgGX0-kHA/edit?usp=sharing"",""แผน!GY83"")"),0)</f>
        <v>0</v>
      </c>
      <c r="J541" s="181">
        <v>0</v>
      </c>
      <c r="K541" s="38">
        <f t="shared" ca="1" si="233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 hidden="1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IFERROR(__xludf.DUMMYFUNCTION("IMPORTRANGE(""https://docs.google.com/spreadsheets/d/1QqKyyYR6Q21VydFLVH3TRQUabQu_ym0Zz7PgGX0-kHA/edit?usp=sharing"",""แผน!GZ83"")"),0)</f>
        <v>0</v>
      </c>
      <c r="J542" s="181">
        <v>0</v>
      </c>
      <c r="K542" s="38">
        <f t="shared" ca="1" si="233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4">I559</f>
        <v>0</v>
      </c>
      <c r="J543" s="638">
        <f t="shared" si="234"/>
        <v>0</v>
      </c>
      <c r="K543" s="639">
        <f t="shared" ca="1" si="233"/>
        <v>0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5">L545+L546</f>
        <v>75300</v>
      </c>
      <c r="M544" s="154">
        <f t="shared" ca="1" si="235"/>
        <v>75300</v>
      </c>
      <c r="N544" s="154">
        <f t="shared" si="235"/>
        <v>52348.5</v>
      </c>
      <c r="O544" s="154">
        <f t="shared" ref="O544:O549" ca="1" si="236">IF(L544&gt;0,N544*100/L544,0)</f>
        <v>69.519920318725099</v>
      </c>
      <c r="P544" s="154">
        <f t="shared" ref="P544:P549" ca="1" si="237">IF(M544&gt;0,N544*100/M544,0)</f>
        <v>69.519920318725099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8">L548+L556</f>
        <v>0</v>
      </c>
      <c r="M545" s="45">
        <f t="shared" ref="M545:N546" si="239">M548+M555</f>
        <v>0</v>
      </c>
      <c r="N545" s="45">
        <f t="shared" si="239"/>
        <v>0</v>
      </c>
      <c r="O545" s="45">
        <f t="shared" si="236"/>
        <v>0</v>
      </c>
      <c r="P545" s="45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8"/>
        <v>75300</v>
      </c>
      <c r="M546" s="45">
        <f t="shared" ca="1" si="239"/>
        <v>75300</v>
      </c>
      <c r="N546" s="45">
        <f t="shared" si="239"/>
        <v>52348.5</v>
      </c>
      <c r="O546" s="45">
        <f t="shared" ca="1" si="236"/>
        <v>69.519920318725099</v>
      </c>
      <c r="P546" s="45">
        <f t="shared" ca="1" si="237"/>
        <v>69.519920318725099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0">L548+L549</f>
        <v>75300</v>
      </c>
      <c r="M547" s="38">
        <f t="shared" ca="1" si="240"/>
        <v>75300</v>
      </c>
      <c r="N547" s="38">
        <f t="shared" si="240"/>
        <v>52348.5</v>
      </c>
      <c r="O547" s="38">
        <f t="shared" ca="1" si="236"/>
        <v>69.519920318725099</v>
      </c>
      <c r="P547" s="38">
        <f t="shared" ca="1" si="237"/>
        <v>69.519920318725099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6"/>
        <v>0</v>
      </c>
      <c r="P548" s="45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IFERROR(__xludf.DUMMYFUNCTION("IMPORTRANGE(""https://docs.google.com/spreadsheets/d/1QqKyyYR6Q21VydFLVH3TRQUabQu_ym0Zz7PgGX0-kHA/edit?usp=sharing"",""แผน!HB83"")"),75300)</f>
        <v>75300</v>
      </c>
      <c r="M549" s="45">
        <f ca="1">L549</f>
        <v>75300</v>
      </c>
      <c r="N549" s="45">
        <f>N550+N551+N552+N553+N554</f>
        <v>52348.5</v>
      </c>
      <c r="O549" s="45">
        <f t="shared" ca="1" si="236"/>
        <v>69.519920318725099</v>
      </c>
      <c r="P549" s="45">
        <f t="shared" ca="1" si="237"/>
        <v>69.519920318725099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0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52348.5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1">L556+L557</f>
        <v>0</v>
      </c>
      <c r="M555" s="38">
        <f t="shared" si="241"/>
        <v>0</v>
      </c>
      <c r="N555" s="38">
        <f t="shared" si="241"/>
        <v>0</v>
      </c>
      <c r="O555" s="38">
        <f t="shared" ref="O555:O557" ca="1" si="242">IF(L555&gt;0,N555*100/L555,0)</f>
        <v>0</v>
      </c>
      <c r="P555" s="38">
        <f t="shared" ref="P555:P557" si="243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2"/>
        <v>0</v>
      </c>
      <c r="P556" s="45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IFERROR(__xludf.DUMMYFUNCTION("IMPORTRANGE(""https://docs.google.com/spreadsheets/d/1QqKyyYR6Q21VydFLVH3TRQUabQu_ym0Zz7PgGX0-kHA/edit?usp=sharing"",""แผน!HF83"")"),0)</f>
        <v>0</v>
      </c>
      <c r="M557" s="45">
        <v>0</v>
      </c>
      <c r="N557" s="45">
        <v>0</v>
      </c>
      <c r="O557" s="45">
        <f t="shared" ca="1" si="242"/>
        <v>0</v>
      </c>
      <c r="P557" s="45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 hidden="1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 hidden="1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4">I576</f>
        <v>0</v>
      </c>
      <c r="J559" s="630">
        <f t="shared" si="244"/>
        <v>0</v>
      </c>
      <c r="K559" s="631">
        <f t="shared" ref="K559:K561" ca="1" si="245">IF(I559&gt;0,J559*100/I559,0)</f>
        <v>0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 hidden="1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IFERROR(__xludf.DUMMYFUNCTION("IMPORTRANGE(""https://docs.google.com/spreadsheets/d/1QqKyyYR6Q21VydFLVH3TRQUabQu_ym0Zz7PgGX0-kHA/edit?usp=sharing"",""แผน!HH83"")"),0)</f>
        <v>0</v>
      </c>
      <c r="J560" s="189">
        <f t="shared" ref="J560:J561" si="246">J562+J564+J566</f>
        <v>0</v>
      </c>
      <c r="K560" s="391">
        <f t="shared" ca="1" si="245"/>
        <v>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 hidden="1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IFERROR(__xludf.DUMMYFUNCTION("IMPORTRANGE(""https://docs.google.com/spreadsheets/d/1QqKyyYR6Q21VydFLVH3TRQUabQu_ym0Zz7PgGX0-kHA/edit?usp=sharing"",""แผน!HG83"")"),0)</f>
        <v>0</v>
      </c>
      <c r="J561" s="189">
        <f t="shared" si="246"/>
        <v>0</v>
      </c>
      <c r="K561" s="391">
        <f t="shared" ca="1" si="245"/>
        <v>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 hidden="1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 hidden="1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 hidden="1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 hidden="1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 hidden="1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 hidden="1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 hidden="1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IFERROR(__xludf.DUMMYFUNCTION("IMPORTRANGE(""https://docs.google.com/spreadsheets/d/1QqKyyYR6Q21VydFLVH3TRQUabQu_ym0Zz7PgGX0-kHA/edit?usp=sharing"",""แผน!HH83"")"),0)</f>
        <v>0</v>
      </c>
      <c r="J568" s="190">
        <f t="shared" ref="J568:J569" si="247">J570+J572+J574</f>
        <v>0</v>
      </c>
      <c r="K568" s="391">
        <f t="shared" ref="K568:K569" ca="1" si="248">IF(I568&gt;0,J568*100/I568,0)</f>
        <v>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 hidden="1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IFERROR(__xludf.DUMMYFUNCTION("IMPORTRANGE(""https://docs.google.com/spreadsheets/d/1QqKyyYR6Q21VydFLVH3TRQUabQu_ym0Zz7PgGX0-kHA/edit?usp=sharing"",""แผน!HG83"")"),0)</f>
        <v>0</v>
      </c>
      <c r="J569" s="190">
        <f t="shared" si="247"/>
        <v>0</v>
      </c>
      <c r="K569" s="391">
        <f t="shared" ca="1" si="248"/>
        <v>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 hidden="1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 hidden="1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 hidden="1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 hidden="1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 hidden="1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 hidden="1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 hidden="1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IFERROR(__xludf.DUMMYFUNCTION("IMPORTRANGE(""https://docs.google.com/spreadsheets/d/1QqKyyYR6Q21VydFLVH3TRQUabQu_ym0Zz7PgGX0-kHA/edit?usp=sharing"",""แผน!HH83"")"),0)</f>
        <v>0</v>
      </c>
      <c r="J576" s="190">
        <f t="shared" ref="J576:J577" si="249">J578+J580+J582+J588+J590</f>
        <v>0</v>
      </c>
      <c r="K576" s="391">
        <f t="shared" ref="K576:K577" ca="1" si="250">IF(I576&gt;0,J576*100/I576,0)</f>
        <v>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 hidden="1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IFERROR(__xludf.DUMMYFUNCTION("IMPORTRANGE(""https://docs.google.com/spreadsheets/d/1QqKyyYR6Q21VydFLVH3TRQUabQu_ym0Zz7PgGX0-kHA/edit?usp=sharing"",""แผน!HG83"")"),0)</f>
        <v>0</v>
      </c>
      <c r="J577" s="190">
        <f t="shared" si="249"/>
        <v>0</v>
      </c>
      <c r="K577" s="391">
        <f t="shared" ca="1" si="250"/>
        <v>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 hidden="1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 hidden="1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 hidden="1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 hidden="1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 hidden="1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1">J584+J586</f>
        <v>0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 hidden="1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1"/>
        <v>0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 hidden="1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 hidden="1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 hidden="1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 hidden="1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 hidden="1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 hidden="1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 hidden="1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 hidden="1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2">I593</f>
        <v>428.41</v>
      </c>
      <c r="J592" s="630">
        <f t="shared" si="252"/>
        <v>0</v>
      </c>
      <c r="K592" s="631">
        <f t="shared" ref="K592:K594" ca="1" si="253">IF(I592&gt;0,J592*100/I592,0)</f>
        <v>0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IFERROR(__xludf.DUMMYFUNCTION("IMPORTRANGE(""https://docs.google.com/spreadsheets/d/1QqKyyYR6Q21VydFLVH3TRQUabQu_ym0Zz7PgGX0-kHA/edit?usp=sharing"",""แผน!HJ83"")"),428.41)</f>
        <v>428.41</v>
      </c>
      <c r="J593" s="189">
        <f t="shared" ref="J593:J594" si="254">J595+J603+J609</f>
        <v>0</v>
      </c>
      <c r="K593" s="391">
        <f t="shared" ca="1" si="253"/>
        <v>0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IFERROR(__xludf.DUMMYFUNCTION("IMPORTRANGE(""https://docs.google.com/spreadsheets/d/1QqKyyYR6Q21VydFLVH3TRQUabQu_ym0Zz7PgGX0-kHA/edit?usp=sharing"",""แผน!HI83"")"),31)</f>
        <v>31</v>
      </c>
      <c r="J594" s="189">
        <f t="shared" si="254"/>
        <v>4</v>
      </c>
      <c r="K594" s="391">
        <f t="shared" ca="1" si="253"/>
        <v>12.903225806451612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5">J597+J599</f>
        <v>0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5"/>
        <v>0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6"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6"/>
        <v>4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/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4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 hidden="1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7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8">J614+J616</f>
        <v>0</v>
      </c>
      <c r="K612" s="666">
        <f t="shared" si="257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8"/>
        <v>0</v>
      </c>
      <c r="K613" s="666">
        <f t="shared" si="257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 hidden="1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IFERROR(__xludf.DUMMYFUNCTION("IMPORTRANGE(""https://docs.google.com/spreadsheets/d/1QqKyyYR6Q21VydFLVH3TRQUabQu_ym0Zz7PgGX0-kHA/edit?usp=sharing"",""แผน!HL83"")"),0)</f>
        <v>0</v>
      </c>
      <c r="J620" s="675">
        <f t="shared" ref="J620:J621" si="259">J622+J624+J626</f>
        <v>0</v>
      </c>
      <c r="K620" s="676">
        <f t="shared" ref="K620:K621" ca="1" si="260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 hidden="1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IFERROR(__xludf.DUMMYFUNCTION("IMPORTRANGE(""https://docs.google.com/spreadsheets/d/1QqKyyYR6Q21VydFLVH3TRQUabQu_ym0Zz7PgGX0-kHA/edit?usp=sharing"",""แผน!HK83"")"),0)</f>
        <v>0</v>
      </c>
      <c r="J621" s="675">
        <f t="shared" si="259"/>
        <v>0</v>
      </c>
      <c r="K621" s="676">
        <f t="shared" ca="1" si="260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 hidden="1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 hidden="1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 hidden="1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 hidden="1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 hidden="1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 hidden="1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 hidden="1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1">I651</f>
        <v>0</v>
      </c>
      <c r="J628" s="686">
        <f t="shared" ca="1" si="261"/>
        <v>0</v>
      </c>
      <c r="K628" s="687">
        <f ca="1">IF(I628&gt;0,J628*100/I628,0)</f>
        <v>0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 hidden="1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2">L630+L631</f>
        <v>0</v>
      </c>
      <c r="M629" s="191">
        <f t="shared" si="262"/>
        <v>0</v>
      </c>
      <c r="N629" s="191">
        <f t="shared" si="262"/>
        <v>0</v>
      </c>
      <c r="O629" s="191">
        <f t="shared" ref="O629:O634" ca="1" si="263">IF(L629&gt;0,N629*100/L629,0)</f>
        <v>0</v>
      </c>
      <c r="P629" s="191">
        <f t="shared" ref="P629:P634" si="264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5">L633+L640</f>
        <v>0</v>
      </c>
      <c r="M630" s="45">
        <f t="shared" si="265"/>
        <v>0</v>
      </c>
      <c r="N630" s="45">
        <f t="shared" si="265"/>
        <v>0</v>
      </c>
      <c r="O630" s="45">
        <f t="shared" si="263"/>
        <v>0</v>
      </c>
      <c r="P630" s="45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5"/>
        <v>0</v>
      </c>
      <c r="M631" s="45">
        <f t="shared" si="265"/>
        <v>0</v>
      </c>
      <c r="N631" s="45">
        <f t="shared" si="265"/>
        <v>0</v>
      </c>
      <c r="O631" s="45">
        <f t="shared" ca="1" si="263"/>
        <v>0</v>
      </c>
      <c r="P631" s="45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 hidden="1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6">L633+L634</f>
        <v>0</v>
      </c>
      <c r="M632" s="38">
        <f t="shared" si="266"/>
        <v>0</v>
      </c>
      <c r="N632" s="38">
        <f t="shared" si="266"/>
        <v>0</v>
      </c>
      <c r="O632" s="38">
        <f t="shared" ca="1" si="263"/>
        <v>0</v>
      </c>
      <c r="P632" s="38">
        <f t="shared" si="264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3"/>
        <v>0</v>
      </c>
      <c r="P633" s="45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IFERROR(__xludf.DUMMYFUNCTION("IMPORTRANGE(""https://docs.google.com/spreadsheets/d/1QqKyyYR6Q21VydFLVH3TRQUabQu_ym0Zz7PgGX0-kHA/edit?usp=sharing"",""แผน!HN83"")"),0)</f>
        <v>0</v>
      </c>
      <c r="M634" s="45">
        <v>0</v>
      </c>
      <c r="N634" s="45">
        <f>N635+N636+N637+N638</f>
        <v>0</v>
      </c>
      <c r="O634" s="45">
        <f t="shared" ca="1" si="263"/>
        <v>0</v>
      </c>
      <c r="P634" s="45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 hidden="1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 hidden="1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 hidden="1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 hidden="1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 hidden="1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7">L640+L641</f>
        <v>0</v>
      </c>
      <c r="M639" s="38">
        <f t="shared" si="267"/>
        <v>0</v>
      </c>
      <c r="N639" s="38">
        <f t="shared" si="267"/>
        <v>0</v>
      </c>
      <c r="O639" s="38">
        <f t="shared" ref="O639:O641" ca="1" si="268">IF(L639&gt;0,N639*100/L639,0)</f>
        <v>0</v>
      </c>
      <c r="P639" s="38">
        <f t="shared" ref="P639:P641" si="269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8"/>
        <v>0</v>
      </c>
      <c r="P640" s="45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IFERROR(__xludf.DUMMYFUNCTION("IMPORTRANGE(""https://docs.google.com/spreadsheets/d/1QqKyyYR6Q21VydFLVH3TRQUabQu_ym0Zz7PgGX0-kHA/edit?usp=sharing"",""แผน!HQ83"")"),0)</f>
        <v>0</v>
      </c>
      <c r="M641" s="45">
        <v>0</v>
      </c>
      <c r="N641" s="45">
        <v>0</v>
      </c>
      <c r="O641" s="45">
        <f t="shared" ca="1" si="268"/>
        <v>0</v>
      </c>
      <c r="P641" s="45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 hidden="1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 hidden="1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IFERROR(__xludf.DUMMYFUNCTION("IMPORTRANGE(""https://docs.google.com/spreadsheets/d/1QqKyyYR6Q21VydFLVH3TRQUabQu_ym0Zz7PgGX0-kHA/edit?usp=sharing"",""แผน!HR83"")"),0)</f>
        <v>0</v>
      </c>
      <c r="J643" s="181">
        <v>0</v>
      </c>
      <c r="K643" s="162">
        <f t="shared" ref="K643:K652" ca="1" si="270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 hidden="1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IFERROR(__xludf.DUMMYFUNCTION("IMPORTRANGE(""https://docs.google.com/spreadsheets/d/1QqKyyYR6Q21VydFLVH3TRQUabQu_ym0Zz7PgGX0-kHA/edit?usp=sharing"",""แผน!HR83"")"),0)</f>
        <v>0</v>
      </c>
      <c r="J644" s="181">
        <v>0</v>
      </c>
      <c r="K644" s="162">
        <f t="shared" ca="1" si="270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 hidden="1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IFERROR(__xludf.DUMMYFUNCTION("IMPORTRANGE(""https://docs.google.com/spreadsheets/d/1XWAQStnk-4SwqDmLtmXYiTMKHgktTP8We1SCoS47DrQ/edit?usp=sharing"",""จัดที่ดิน!AS83"")"),0)</f>
        <v>0</v>
      </c>
      <c r="K645" s="162">
        <f t="shared" si="270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 hidden="1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IFERROR(__xludf.DUMMYFUNCTION("IMPORTRANGE(""https://docs.google.com/spreadsheets/d/1XWAQStnk-4SwqDmLtmXYiTMKHgktTP8We1SCoS47DrQ/edit?usp=sharing"",""จัดที่ดิน!AT83"")"),0)</f>
        <v>0</v>
      </c>
      <c r="K646" s="38">
        <f t="shared" si="270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 hidden="1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IFERROR(__xludf.DUMMYFUNCTION("IMPORTRANGE(""https://docs.google.com/spreadsheets/d/1QqKyyYR6Q21VydFLVH3TRQUabQu_ym0Zz7PgGX0-kHA/edit?usp=sharing"",""แผน!HS83"")"),0)</f>
        <v>0</v>
      </c>
      <c r="J647" s="37">
        <f ca="1">IFERROR(__xludf.DUMMYFUNCTION("IMPORTRANGE(""https://docs.google.com/spreadsheets/d/1XWAQStnk-4SwqDmLtmXYiTMKHgktTP8We1SCoS47DrQ/edit?usp=sharing"",""จัดที่ดิน!AU83"")"),0)</f>
        <v>0</v>
      </c>
      <c r="K647" s="162">
        <f t="shared" ca="1" si="270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 hidden="1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IFERROR(__xludf.DUMMYFUNCTION("IMPORTRANGE(""https://docs.google.com/spreadsheets/d/1XWAQStnk-4SwqDmLtmXYiTMKHgktTP8We1SCoS47DrQ/edit?usp=sharing"",""จัดที่ดิน!AV83"")"),0)</f>
        <v>0</v>
      </c>
      <c r="K648" s="38">
        <f t="shared" si="270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 hidden="1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IFERROR(__xludf.DUMMYFUNCTION("IMPORTRANGE(""https://docs.google.com/spreadsheets/d/1QqKyyYR6Q21VydFLVH3TRQUabQu_ym0Zz7PgGX0-kHA/edit?usp=sharing"",""แผน!HS83"")"),0)</f>
        <v>0</v>
      </c>
      <c r="J649" s="37">
        <f ca="1">IFERROR(__xludf.DUMMYFUNCTION("IMPORTRANGE(""https://docs.google.com/spreadsheets/d/1XWAQStnk-4SwqDmLtmXYiTMKHgktTP8We1SCoS47DrQ/edit?usp=sharing"",""จัดที่ดิน!AW83"")"),0)</f>
        <v>0</v>
      </c>
      <c r="K649" s="162">
        <f t="shared" ca="1" si="270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 hidden="1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IFERROR(__xludf.DUMMYFUNCTION("IMPORTRANGE(""https://docs.google.com/spreadsheets/d/1XWAQStnk-4SwqDmLtmXYiTMKHgktTP8We1SCoS47DrQ/edit?usp=sharing"",""จัดที่ดิน!AX83"")"),0)</f>
        <v>0</v>
      </c>
      <c r="K650" s="38">
        <f t="shared" si="270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 hidden="1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IFERROR(__xludf.DUMMYFUNCTION("IMPORTRANGE(""https://docs.google.com/spreadsheets/d/1QqKyyYR6Q21VydFLVH3TRQUabQu_ym0Zz7PgGX0-kHA/edit?usp=sharing"",""แผน!HS83"")"),0)</f>
        <v>0</v>
      </c>
      <c r="J651" s="37">
        <f ca="1">IFERROR(__xludf.DUMMYFUNCTION("IMPORTRANGE(""https://docs.google.com/spreadsheets/d/1XWAQStnk-4SwqDmLtmXYiTMKHgktTP8We1SCoS47DrQ/edit?usp=sharing"",""จัดที่ดิน!AY83"")"),0)</f>
        <v>0</v>
      </c>
      <c r="K651" s="162">
        <f t="shared" ca="1" si="270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 hidden="1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IFERROR(__xludf.DUMMYFUNCTION("IMPORTRANGE(""https://docs.google.com/spreadsheets/d/1XWAQStnk-4SwqDmLtmXYiTMKHgktTP8We1SCoS47DrQ/edit?usp=sharing"",""จัดที่ดิน!AZ83"")"),0)</f>
        <v>0</v>
      </c>
      <c r="K652" s="475">
        <f t="shared" si="270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 hidden="1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 hidden="1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1">I669</f>
        <v>0</v>
      </c>
      <c r="J654" s="630">
        <f t="shared" si="271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 hidden="1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2">L656+L657</f>
        <v>0</v>
      </c>
      <c r="M655" s="191">
        <f t="shared" si="272"/>
        <v>0</v>
      </c>
      <c r="N655" s="191">
        <f t="shared" si="272"/>
        <v>0</v>
      </c>
      <c r="O655" s="191">
        <f t="shared" ref="O655:O660" ca="1" si="273">IF(L655&gt;0,N655*100/L655,0)</f>
        <v>0</v>
      </c>
      <c r="P655" s="191">
        <f t="shared" ref="P655:P660" si="274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5">L659+L666</f>
        <v>0</v>
      </c>
      <c r="M656" s="45">
        <f t="shared" si="275"/>
        <v>0</v>
      </c>
      <c r="N656" s="45">
        <f t="shared" si="275"/>
        <v>0</v>
      </c>
      <c r="O656" s="45">
        <f t="shared" si="273"/>
        <v>0</v>
      </c>
      <c r="P656" s="45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5"/>
        <v>0</v>
      </c>
      <c r="M657" s="45">
        <f t="shared" si="275"/>
        <v>0</v>
      </c>
      <c r="N657" s="45">
        <f t="shared" si="275"/>
        <v>0</v>
      </c>
      <c r="O657" s="45">
        <f t="shared" ca="1" si="273"/>
        <v>0</v>
      </c>
      <c r="P657" s="45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 hidden="1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6">L659+L660</f>
        <v>0</v>
      </c>
      <c r="M658" s="38">
        <f t="shared" si="276"/>
        <v>0</v>
      </c>
      <c r="N658" s="38">
        <f t="shared" si="276"/>
        <v>0</v>
      </c>
      <c r="O658" s="38">
        <f t="shared" ca="1" si="273"/>
        <v>0</v>
      </c>
      <c r="P658" s="38">
        <f t="shared" si="274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3"/>
        <v>0</v>
      </c>
      <c r="P659" s="45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IFERROR(__xludf.DUMMYFUNCTION("IMPORTRANGE(""https://docs.google.com/spreadsheets/d/1QqKyyYR6Q21VydFLVH3TRQUabQu_ym0Zz7PgGX0-kHA/edit?usp=sharing"",""แผน!HV83"")"),0)</f>
        <v>0</v>
      </c>
      <c r="M660" s="45">
        <v>0</v>
      </c>
      <c r="N660" s="45">
        <f>N661+N662+N663+N664</f>
        <v>0</v>
      </c>
      <c r="O660" s="45">
        <f t="shared" ca="1" si="273"/>
        <v>0</v>
      </c>
      <c r="P660" s="45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 hidden="1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 hidden="1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 hidden="1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 hidden="1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 hidden="1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7">L666+L667</f>
        <v>0</v>
      </c>
      <c r="M665" s="38">
        <f t="shared" si="277"/>
        <v>0</v>
      </c>
      <c r="N665" s="38">
        <f t="shared" si="277"/>
        <v>0</v>
      </c>
      <c r="O665" s="38">
        <f t="shared" ref="O665:O667" si="278">IF(L665&gt;0,N665*100/L665,0)</f>
        <v>0</v>
      </c>
      <c r="P665" s="38">
        <f t="shared" ref="P665:P667" si="279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8"/>
        <v>0</v>
      </c>
      <c r="P666" s="45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8"/>
        <v>0</v>
      </c>
      <c r="P667" s="45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 hidden="1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 hidden="1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IFERROR(__xludf.DUMMYFUNCTION("IMPORTRANGE(""https://docs.google.com/spreadsheets/d/1QqKyyYR6Q21VydFLVH3TRQUabQu_ym0Zz7PgGX0-kHA/edit?usp=sharing"",""แผน!IA83"")"),0)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 hidden="1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IFERROR(__xludf.DUMMYFUNCTION("IMPORTRANGE(""https://docs.google.com/spreadsheets/d/1QqKyyYR6Q21VydFLVH3TRQUabQu_ym0Zz7PgGX0-kHA/edit?usp=sharing"",""แผน!HZ83"")"),0)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 hidden="1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IFERROR(__xludf.DUMMYFUNCTION("IMPORTRANGE(""https://docs.google.com/spreadsheets/d/1QqKyyYR6Q21VydFLVH3TRQUabQu_ym0Zz7PgGX0-kHA/edit?usp=sharing"",""แผน!HZ83"")"),0)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 hidden="1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0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 hidden="1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0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 hidden="1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0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 hidden="1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0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 hidden="1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 hidden="1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 hidden="1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IFERROR(__xludf.DUMMYFUNCTION("IMPORTRANGE(""https://docs.google.com/spreadsheets/d/1QqKyyYR6Q21VydFLVH3TRQUabQu_ym0Zz7PgGX0-kHA/edit?usp=sharing"",""แผน!IB83"")"),0)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 hidden="1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 hidden="1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 hidden="1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 hidden="1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 hidden="1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 hidden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 hidden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1">L686+L687</f>
        <v>0</v>
      </c>
      <c r="M685" s="191">
        <f t="shared" si="281"/>
        <v>0</v>
      </c>
      <c r="N685" s="191">
        <f t="shared" si="281"/>
        <v>0</v>
      </c>
      <c r="O685" s="191">
        <f t="shared" ref="O685:O688" ca="1" si="282">IF(L685&gt;0,N685*100/L685,0)</f>
        <v>0</v>
      </c>
      <c r="P685" s="191">
        <f t="shared" ref="P685:P688" si="283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4">L689+L696</f>
        <v>0</v>
      </c>
      <c r="M686" s="45">
        <f t="shared" si="284"/>
        <v>0</v>
      </c>
      <c r="N686" s="45">
        <f t="shared" si="284"/>
        <v>0</v>
      </c>
      <c r="O686" s="45">
        <f t="shared" si="282"/>
        <v>0</v>
      </c>
      <c r="P686" s="45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4"/>
        <v>0</v>
      </c>
      <c r="M687" s="45">
        <f t="shared" si="284"/>
        <v>0</v>
      </c>
      <c r="N687" s="45">
        <f t="shared" si="284"/>
        <v>0</v>
      </c>
      <c r="O687" s="45">
        <f t="shared" ca="1" si="282"/>
        <v>0</v>
      </c>
      <c r="P687" s="45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 hidden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5">L689+L690</f>
        <v>0</v>
      </c>
      <c r="M688" s="38">
        <f t="shared" si="285"/>
        <v>0</v>
      </c>
      <c r="N688" s="38">
        <f t="shared" si="285"/>
        <v>0</v>
      </c>
      <c r="O688" s="38">
        <f t="shared" ca="1" si="282"/>
        <v>0</v>
      </c>
      <c r="P688" s="38">
        <f t="shared" si="283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IFERROR(__xludf.DUMMYFUNCTION("IMPORTRANGE(""https://docs.google.com/spreadsheets/d/1QqKyyYR6Q21VydFLVH3TRQUabQu_ym0Zz7PgGX0-kHA/edit?usp=sharing"",""แผน!HW83"")"),0)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 hidden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 hidden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 hidden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 hidden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 hidden="1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6">L696+L697</f>
        <v>0</v>
      </c>
      <c r="M695" s="38">
        <f t="shared" si="286"/>
        <v>0</v>
      </c>
      <c r="N695" s="38">
        <f t="shared" si="286"/>
        <v>0</v>
      </c>
      <c r="O695" s="38">
        <f t="shared" ref="O695:O697" si="287">IF(L695&gt;0,N695*100/L695,0)</f>
        <v>0</v>
      </c>
      <c r="P695" s="38">
        <f t="shared" ref="P695:P697" si="288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7"/>
        <v>0</v>
      </c>
      <c r="P696" s="45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7"/>
        <v>0</v>
      </c>
      <c r="P697" s="45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 hidden="1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 hidden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IFERROR(__xludf.DUMMYFUNCTION("IMPORTRANGE(""https://docs.google.com/spreadsheets/d/1QqKyyYR6Q21VydFLVH3TRQUabQu_ym0Zz7PgGX0-kHA/edit?usp=sharing"",""แผน!IC83"")"),0)</f>
        <v>0</v>
      </c>
      <c r="J699" s="37">
        <f ca="1">IFERROR(__xludf.DUMMYFUNCTION("IMPORTRANGE(""https://docs.google.com/spreadsheets/d/1XWAQStnk-4SwqDmLtmXYiTMKHgktTP8We1SCoS47DrQ/edit?usp=sharing"",""จัดที่ดิน!BB83"")"),0)</f>
        <v>0</v>
      </c>
      <c r="K699" s="38">
        <f t="shared" ref="K699:K701" ca="1" si="289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 hidden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IFERROR(__xludf.DUMMYFUNCTION("IMPORTRANGE(""https://docs.google.com/spreadsheets/d/1QqKyyYR6Q21VydFLVH3TRQUabQu_ym0Zz7PgGX0-kHA/edit?usp=sharing"",""แผน!ID83"")"),0)</f>
        <v>0</v>
      </c>
      <c r="J700" s="37">
        <f ca="1">IFERROR(__xludf.DUMMYFUNCTION("IMPORTRANGE(""https://docs.google.com/spreadsheets/d/1XWAQStnk-4SwqDmLtmXYiTMKHgktTP8We1SCoS47DrQ/edit?usp=sharing"",""จัดที่ดิน!BD83"")"),0)</f>
        <v>0</v>
      </c>
      <c r="K700" s="38">
        <f t="shared" ca="1" si="289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 hidden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IFERROR(__xludf.DUMMYFUNCTION("IMPORTRANGE(""https://docs.google.com/spreadsheets/d/1QqKyyYR6Q21VydFLVH3TRQUabQu_ym0Zz7PgGX0-kHA/edit?usp=sharing"",""แผน!IE83"")"),0)</f>
        <v>0</v>
      </c>
      <c r="J701" s="190">
        <f>J704+J707</f>
        <v>0</v>
      </c>
      <c r="K701" s="191">
        <f t="shared" ca="1" si="289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 hidden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 hidden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 hidden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IFERROR(__xludf.DUMMYFUNCTION("IMPORTRANGE(""https://docs.google.com/spreadsheets/d/1QqKyyYR6Q21VydFLVH3TRQUabQu_ym0Zz7PgGX0-kHA/edit?usp=sharing"",""แผน!IF83"")"),0)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 hidden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 hidden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 hidden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IFERROR(__xludf.DUMMYFUNCTION("IMPORTRANGE(""https://docs.google.com/spreadsheets/d/1QqKyyYR6Q21VydFLVH3TRQUabQu_ym0Zz7PgGX0-kHA/edit?usp=sharing"",""แผน!IG83"")"),0)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 hidden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IFERROR(__xludf.DUMMYFUNCTION("IMPORTRANGE(""https://docs.google.com/spreadsheets/d/1QqKyyYR6Q21VydFLVH3TRQUabQu_ym0Zz7PgGX0-kHA/edit?usp=sharing"",""แผน!IH83"")"),0)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 hidden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 hidden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 hidden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 hidden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 hidden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 hidden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 hidden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 hidden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 hidden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 hidden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IFERROR(__xludf.DUMMYFUNCTION("IMPORTRANGE(""https://docs.google.com/spreadsheets/d/1XWAQStnk-4SwqDmLtmXYiTMKHgktTP8We1SCoS47DrQ/edit?usp=sharing"",""จัดที่ดิน!BF83"")"),0)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 hidden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IFERROR(__xludf.DUMMYFUNCTION("IMPORTRANGE(""https://docs.google.com/spreadsheets/d/1XWAQStnk-4SwqDmLtmXYiTMKHgktTP8We1SCoS47DrQ/edit?usp=sharing"",""จัดที่ดิน!BG83"")"),0)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 hidden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IFERROR(__xludf.DUMMYFUNCTION("IMPORTRANGE(""https://docs.google.com/spreadsheets/d/1QqKyyYR6Q21VydFLVH3TRQUabQu_ym0Zz7PgGX0-kHA/edit?usp=sharing"",""แผน!II83"")"),0)</f>
        <v>0</v>
      </c>
      <c r="J720" s="37">
        <f ca="1">IFERROR(__xludf.DUMMYFUNCTION("IMPORTRANGE(""https://docs.google.com/spreadsheets/d/1XWAQStnk-4SwqDmLtmXYiTMKHgktTP8We1SCoS47DrQ/edit?usp=sharing"",""จัดที่ดิน!BH83"")"),0)</f>
        <v>0</v>
      </c>
      <c r="K720" s="38">
        <f t="shared" ref="K720:K723" ca="1" si="290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 hidden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IFERROR(__xludf.DUMMYFUNCTION("IMPORTRANGE(""https://docs.google.com/spreadsheets/d/1QqKyyYR6Q21VydFLVH3TRQUabQu_ym0Zz7PgGX0-kHA/edit?usp=sharing"",""แผน!IJ83"")"),0)</f>
        <v>0</v>
      </c>
      <c r="J721" s="190">
        <f ca="1">J723+J726</f>
        <v>0</v>
      </c>
      <c r="K721" s="191">
        <f t="shared" ca="1" si="290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 hidden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IFERROR(__xludf.DUMMYFUNCTION("IMPORTRANGE(""https://docs.google.com/spreadsheets/d/1QqKyyYR6Q21VydFLVH3TRQUabQu_ym0Zz7PgGX0-kHA/edit?usp=sharing"",""แผน!IK83"")"),0)</f>
        <v>0</v>
      </c>
      <c r="J722" s="190">
        <f ca="1">J725+J728</f>
        <v>0</v>
      </c>
      <c r="K722" s="191">
        <f t="shared" ca="1" si="290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 hidden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IFERROR(__xludf.DUMMYFUNCTION("IMPORTRANGE(""https://docs.google.com/spreadsheets/d/1QqKyyYR6Q21VydFLVH3TRQUabQu_ym0Zz7PgGX0-kHA/edit?usp=sharing"",""แผน!IL83"")"),0)</f>
        <v>0</v>
      </c>
      <c r="J723" s="37">
        <f ca="1">IFERROR(__xludf.DUMMYFUNCTION("IMPORTRANGE(""https://docs.google.com/spreadsheets/d/1XWAQStnk-4SwqDmLtmXYiTMKHgktTP8We1SCoS47DrQ/edit?usp=sharing"",""จัดที่ดิน!BM83"")"),0)</f>
        <v>0</v>
      </c>
      <c r="K723" s="38">
        <f t="shared" ca="1" si="290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 hidden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IFERROR(__xludf.DUMMYFUNCTION("IMPORTRANGE(""https://docs.google.com/spreadsheets/d/1XWAQStnk-4SwqDmLtmXYiTMKHgktTP8We1SCoS47DrQ/edit?usp=sharing"",""จัดที่ดิน!BN83"")"),0)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 hidden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IFERROR(__xludf.DUMMYFUNCTION("IMPORTRANGE(""https://docs.google.com/spreadsheets/d/1QqKyyYR6Q21VydFLVH3TRQUabQu_ym0Zz7PgGX0-kHA/edit?usp=sharing"",""แผน!IM83"")"),0)</f>
        <v>0</v>
      </c>
      <c r="J725" s="37">
        <f ca="1">IFERROR(__xludf.DUMMYFUNCTION("IMPORTRANGE(""https://docs.google.com/spreadsheets/d/1XWAQStnk-4SwqDmLtmXYiTMKHgktTP8We1SCoS47DrQ/edit?usp=sharing"",""จัดที่ดิน!BO83"")"),0)</f>
        <v>0</v>
      </c>
      <c r="K725" s="38">
        <f t="shared" ref="K725:K726" ca="1" si="291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 hidden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IFERROR(__xludf.DUMMYFUNCTION("IMPORTRANGE(""https://docs.google.com/spreadsheets/d/1QqKyyYR6Q21VydFLVH3TRQUabQu_ym0Zz7PgGX0-kHA/edit?usp=sharing"",""แผน!IN83"")"),0)</f>
        <v>0</v>
      </c>
      <c r="J726" s="37">
        <f ca="1">IFERROR(__xludf.DUMMYFUNCTION("IMPORTRANGE(""https://docs.google.com/spreadsheets/d/1XWAQStnk-4SwqDmLtmXYiTMKHgktTP8We1SCoS47DrQ/edit?usp=sharing"",""จัดที่ดิน!BR83"")"),0)</f>
        <v>0</v>
      </c>
      <c r="K726" s="38">
        <f t="shared" ca="1" si="291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 hidden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IFERROR(__xludf.DUMMYFUNCTION("IMPORTRANGE(""https://docs.google.com/spreadsheets/d/1XWAQStnk-4SwqDmLtmXYiTMKHgktTP8We1SCoS47DrQ/edit?usp=sharing"",""จัดที่ดิน!BS83"")"),0)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 hidden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IFERROR(__xludf.DUMMYFUNCTION("IMPORTRANGE(""https://docs.google.com/spreadsheets/d/1QqKyyYR6Q21VydFLVH3TRQUabQu_ym0Zz7PgGX0-kHA/edit?usp=sharing"",""แผน!IO83"")"),0)</f>
        <v>0</v>
      </c>
      <c r="J728" s="37">
        <f ca="1">IFERROR(__xludf.DUMMYFUNCTION("IMPORTRANGE(""https://docs.google.com/spreadsheets/d/1XWAQStnk-4SwqDmLtmXYiTMKHgktTP8We1SCoS47DrQ/edit?usp=sharing"",""จัดที่ดิน!BT83"")"),0)</f>
        <v>0</v>
      </c>
      <c r="K728" s="38">
        <f t="shared" ref="K728:K729" ca="1" si="292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 hidden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IFERROR(__xludf.DUMMYFUNCTION("IMPORTRANGE(""https://docs.google.com/spreadsheets/d/1QqKyyYR6Q21VydFLVH3TRQUabQu_ym0Zz7PgGX0-kHA/edit?usp=sharing"",""แผน!IP83"")"),0)</f>
        <v>0</v>
      </c>
      <c r="J729" s="190">
        <f>J732+J735</f>
        <v>0</v>
      </c>
      <c r="K729" s="191">
        <f t="shared" ca="1" si="292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 hidden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 hidden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 hidden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 hidden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 hidden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 hidden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3">L738+L739</f>
        <v>0</v>
      </c>
      <c r="M737" s="601">
        <f t="shared" si="293"/>
        <v>0</v>
      </c>
      <c r="N737" s="601">
        <f t="shared" si="293"/>
        <v>0</v>
      </c>
      <c r="O737" s="601">
        <f t="shared" ref="O737:O742" si="294">IF(L737&gt;0,N737*100/L737,0)</f>
        <v>0</v>
      </c>
      <c r="P737" s="601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6">L741+L748</f>
        <v>0</v>
      </c>
      <c r="M738" s="45">
        <f t="shared" si="296"/>
        <v>0</v>
      </c>
      <c r="N738" s="45">
        <f t="shared" si="296"/>
        <v>0</v>
      </c>
      <c r="O738" s="45">
        <f t="shared" si="294"/>
        <v>0</v>
      </c>
      <c r="P738" s="45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6"/>
        <v>0</v>
      </c>
      <c r="M739" s="45">
        <f t="shared" si="296"/>
        <v>0</v>
      </c>
      <c r="N739" s="45">
        <f t="shared" si="296"/>
        <v>0</v>
      </c>
      <c r="O739" s="45">
        <f t="shared" si="294"/>
        <v>0</v>
      </c>
      <c r="P739" s="45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7">L741+L742</f>
        <v>0</v>
      </c>
      <c r="M740" s="601">
        <f t="shared" si="297"/>
        <v>0</v>
      </c>
      <c r="N740" s="601">
        <f t="shared" si="297"/>
        <v>0</v>
      </c>
      <c r="O740" s="601">
        <f t="shared" si="294"/>
        <v>0</v>
      </c>
      <c r="P740" s="601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4"/>
        <v>0</v>
      </c>
      <c r="P741" s="45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4"/>
        <v>0</v>
      </c>
      <c r="P742" s="45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8">L748+L749</f>
        <v>0</v>
      </c>
      <c r="M747" s="601">
        <f t="shared" si="298"/>
        <v>0</v>
      </c>
      <c r="N747" s="601">
        <f t="shared" si="298"/>
        <v>0</v>
      </c>
      <c r="O747" s="601">
        <f t="shared" ref="O747:O749" si="299">IF(L747&gt;0,N747*100/L747,0)</f>
        <v>0</v>
      </c>
      <c r="P747" s="601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299"/>
        <v>0</v>
      </c>
      <c r="P748" s="45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299"/>
        <v>0</v>
      </c>
      <c r="P749" s="45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1">L755+L756</f>
        <v>0</v>
      </c>
      <c r="M754" s="601">
        <f t="shared" si="301"/>
        <v>0</v>
      </c>
      <c r="N754" s="601">
        <f t="shared" si="301"/>
        <v>0</v>
      </c>
      <c r="O754" s="601">
        <f t="shared" ref="O754:O759" si="302">IF(L754&gt;0,N754*100/L754,0)</f>
        <v>0</v>
      </c>
      <c r="P754" s="601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4">L758+L765</f>
        <v>0</v>
      </c>
      <c r="M755" s="45">
        <f t="shared" si="304"/>
        <v>0</v>
      </c>
      <c r="N755" s="45">
        <f t="shared" si="304"/>
        <v>0</v>
      </c>
      <c r="O755" s="45">
        <f t="shared" si="302"/>
        <v>0</v>
      </c>
      <c r="P755" s="45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4"/>
        <v>0</v>
      </c>
      <c r="M756" s="45">
        <f t="shared" si="304"/>
        <v>0</v>
      </c>
      <c r="N756" s="45">
        <f t="shared" si="304"/>
        <v>0</v>
      </c>
      <c r="O756" s="45">
        <f t="shared" si="302"/>
        <v>0</v>
      </c>
      <c r="P756" s="45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5">L758+L759</f>
        <v>0</v>
      </c>
      <c r="M757" s="601">
        <f t="shared" si="305"/>
        <v>0</v>
      </c>
      <c r="N757" s="601">
        <f t="shared" si="305"/>
        <v>0</v>
      </c>
      <c r="O757" s="601">
        <f t="shared" si="302"/>
        <v>0</v>
      </c>
      <c r="P757" s="601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2"/>
        <v>0</v>
      </c>
      <c r="P758" s="45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2"/>
        <v>0</v>
      </c>
      <c r="P759" s="45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6">L765+L766</f>
        <v>0</v>
      </c>
      <c r="M764" s="601">
        <f t="shared" si="306"/>
        <v>0</v>
      </c>
      <c r="N764" s="601">
        <f t="shared" si="306"/>
        <v>0</v>
      </c>
      <c r="O764" s="601">
        <f t="shared" ref="O764:O766" si="307">IF(L764&gt;0,N764*100/L764,0)</f>
        <v>0</v>
      </c>
      <c r="P764" s="601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7"/>
        <v>0</v>
      </c>
      <c r="P765" s="45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7"/>
        <v>0</v>
      </c>
      <c r="P766" s="45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09">L771+L772</f>
        <v>0</v>
      </c>
      <c r="M770" s="601">
        <f t="shared" si="309"/>
        <v>0</v>
      </c>
      <c r="N770" s="601">
        <f t="shared" si="309"/>
        <v>0</v>
      </c>
      <c r="O770" s="601">
        <f t="shared" ref="O770:O775" si="310">IF(L770&gt;0,N770*100/L770,0)</f>
        <v>0</v>
      </c>
      <c r="P770" s="601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2">L774+L781</f>
        <v>0</v>
      </c>
      <c r="M771" s="45">
        <f t="shared" si="312"/>
        <v>0</v>
      </c>
      <c r="N771" s="45">
        <f t="shared" si="312"/>
        <v>0</v>
      </c>
      <c r="O771" s="45">
        <f t="shared" si="310"/>
        <v>0</v>
      </c>
      <c r="P771" s="45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2"/>
        <v>0</v>
      </c>
      <c r="M772" s="45">
        <f t="shared" si="312"/>
        <v>0</v>
      </c>
      <c r="N772" s="45">
        <f t="shared" si="312"/>
        <v>0</v>
      </c>
      <c r="O772" s="45">
        <f t="shared" si="310"/>
        <v>0</v>
      </c>
      <c r="P772" s="45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3">L774+L775</f>
        <v>0</v>
      </c>
      <c r="M773" s="601">
        <f t="shared" si="313"/>
        <v>0</v>
      </c>
      <c r="N773" s="601">
        <f t="shared" si="313"/>
        <v>0</v>
      </c>
      <c r="O773" s="601">
        <f t="shared" si="310"/>
        <v>0</v>
      </c>
      <c r="P773" s="601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0"/>
        <v>0</v>
      </c>
      <c r="P774" s="45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0"/>
        <v>0</v>
      </c>
      <c r="P775" s="45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4">L781+L782</f>
        <v>0</v>
      </c>
      <c r="M780" s="601">
        <f t="shared" si="314"/>
        <v>0</v>
      </c>
      <c r="N780" s="601">
        <f t="shared" si="314"/>
        <v>0</v>
      </c>
      <c r="O780" s="601">
        <f t="shared" ref="O780:O782" si="315">IF(L780&gt;0,N780*100/L780,0)</f>
        <v>0</v>
      </c>
      <c r="P780" s="601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5"/>
        <v>0</v>
      </c>
      <c r="P781" s="45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5"/>
        <v>0</v>
      </c>
      <c r="P782" s="45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7">I800</f>
        <v>0</v>
      </c>
      <c r="J785" s="743">
        <f t="shared" ca="1" si="317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1">L790+L797</f>
        <v>0</v>
      </c>
      <c r="M787" s="45">
        <f t="shared" si="321"/>
        <v>0</v>
      </c>
      <c r="N787" s="45">
        <f t="shared" si="321"/>
        <v>0</v>
      </c>
      <c r="O787" s="45">
        <f t="shared" si="319"/>
        <v>0</v>
      </c>
      <c r="P787" s="45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1"/>
        <v>0</v>
      </c>
      <c r="M788" s="45">
        <f t="shared" si="321"/>
        <v>0</v>
      </c>
      <c r="N788" s="45">
        <f t="shared" si="321"/>
        <v>0</v>
      </c>
      <c r="O788" s="45">
        <f t="shared" ca="1" si="319"/>
        <v>0</v>
      </c>
      <c r="P788" s="45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2">L790+L791</f>
        <v>0</v>
      </c>
      <c r="M789" s="38">
        <f t="shared" si="322"/>
        <v>0</v>
      </c>
      <c r="N789" s="38">
        <f t="shared" si="322"/>
        <v>0</v>
      </c>
      <c r="O789" s="38">
        <f t="shared" ca="1" si="319"/>
        <v>0</v>
      </c>
      <c r="P789" s="38">
        <f t="shared" si="320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19"/>
        <v>0</v>
      </c>
      <c r="P790" s="45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IFERROR(__xludf.DUMMYFUNCTION("IMPORTRANGE(""https://docs.google.com/spreadsheets/d/1QqKyyYR6Q21VydFLVH3TRQUabQu_ym0Zz7PgGX0-kHA/edit?usp=sharing"",""แผน!JJ83"")"),0)</f>
        <v>0</v>
      </c>
      <c r="M791" s="45">
        <v>0</v>
      </c>
      <c r="N791" s="45">
        <f>N792+N793+N794+N795</f>
        <v>0</v>
      </c>
      <c r="O791" s="45">
        <f t="shared" ca="1" si="319"/>
        <v>0</v>
      </c>
      <c r="P791" s="45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3">L797+L798</f>
        <v>0</v>
      </c>
      <c r="M796" s="38">
        <f t="shared" si="323"/>
        <v>0</v>
      </c>
      <c r="N796" s="38">
        <f t="shared" si="323"/>
        <v>0</v>
      </c>
      <c r="O796" s="38">
        <f t="shared" ref="O796:O798" si="324">IF(L796&gt;0,N796*100/L796,0)</f>
        <v>0</v>
      </c>
      <c r="P796" s="38">
        <f t="shared" ref="P796:P798" si="325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4"/>
        <v>0</v>
      </c>
      <c r="P797" s="45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4"/>
        <v>0</v>
      </c>
      <c r="P798" s="45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IFERROR(__xludf.DUMMYFUNCTION("IMPORTRANGE(""https://docs.google.com/spreadsheets/d/1QqKyyYR6Q21VydFLVH3TRQUabQu_ym0Zz7PgGX0-kHA/edit?usp=sharing"",""แผน!JN83"")"),0)</f>
        <v>0</v>
      </c>
      <c r="J800" s="161">
        <f ca="1">IFERROR(__xludf.DUMMYFUNCTION("IMPORTRANGE(""https://docs.google.com/spreadsheets/d/1MaWodYyGHDf7siQLGxnXhG4mBNTNIuy296niS2xXulU/edit?usp=sharing"",""RTK!H83"")"),0)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IFERROR(__xludf.DUMMYFUNCTION("IMPORTRANGE(""https://docs.google.com/spreadsheets/d/1MaWodYyGHDf7siQLGxnXhG4mBNTNIuy296niS2xXulU/edit?usp=sharing"",""RTK!I83"")"),0)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6">L806+L807</f>
        <v>0</v>
      </c>
      <c r="M805" s="601">
        <f t="shared" si="326"/>
        <v>0</v>
      </c>
      <c r="N805" s="601">
        <f t="shared" si="326"/>
        <v>0</v>
      </c>
      <c r="O805" s="601">
        <f t="shared" ref="O805:O810" si="327">IF(L805&gt;0,N805*100/L805,0)</f>
        <v>0</v>
      </c>
      <c r="P805" s="601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29">L809+L816</f>
        <v>0</v>
      </c>
      <c r="M806" s="45">
        <f t="shared" si="329"/>
        <v>0</v>
      </c>
      <c r="N806" s="45">
        <f t="shared" si="329"/>
        <v>0</v>
      </c>
      <c r="O806" s="45">
        <f t="shared" si="327"/>
        <v>0</v>
      </c>
      <c r="P806" s="45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29"/>
        <v>0</v>
      </c>
      <c r="M807" s="45">
        <f t="shared" si="329"/>
        <v>0</v>
      </c>
      <c r="N807" s="45">
        <f t="shared" si="329"/>
        <v>0</v>
      </c>
      <c r="O807" s="45">
        <f t="shared" si="327"/>
        <v>0</v>
      </c>
      <c r="P807" s="45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0">L809+L810</f>
        <v>0</v>
      </c>
      <c r="M808" s="601">
        <f t="shared" si="330"/>
        <v>0</v>
      </c>
      <c r="N808" s="601">
        <f t="shared" si="330"/>
        <v>0</v>
      </c>
      <c r="O808" s="601">
        <f t="shared" si="327"/>
        <v>0</v>
      </c>
      <c r="P808" s="601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7"/>
        <v>0</v>
      </c>
      <c r="P809" s="45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7"/>
        <v>0</v>
      </c>
      <c r="P810" s="45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1">L816+L817</f>
        <v>0</v>
      </c>
      <c r="M815" s="601">
        <f t="shared" si="331"/>
        <v>0</v>
      </c>
      <c r="N815" s="601">
        <f t="shared" si="331"/>
        <v>0</v>
      </c>
      <c r="O815" s="601">
        <f t="shared" ref="O815:O817" si="332">IF(L815&gt;0,N815*100/L815,0)</f>
        <v>0</v>
      </c>
      <c r="P815" s="601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2"/>
        <v>0</v>
      </c>
      <c r="P816" s="45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2"/>
        <v>0</v>
      </c>
      <c r="P817" s="45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341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IFERROR(__xludf.DUMMYFUNCTION("IMPORTRANGE(""https://docs.google.com/spreadsheets/d/19vJNZY_5yjcGF2XGBMNZRCAIB0Kwfpjp8YEOfu-bneM/edit?usp=sharing"",""งานกองทุน!D83"")"),699747.07)</f>
        <v>699747.07</v>
      </c>
      <c r="J821" s="37">
        <f ca="1">IFERROR(__xludf.DUMMYFUNCTION("IMPORTRANGE(""https://docs.google.com/spreadsheets/d/19vJNZY_5yjcGF2XGBMNZRCAIB0Kwfpjp8YEOfu-bneM/edit?usp=sharing"",""งานกองทุน!F83"")"),444790.46)</f>
        <v>444790.46</v>
      </c>
      <c r="K821" s="38">
        <f t="shared" ref="K821:K828" ca="1" si="334">IF(I821&gt;0,J821*100/I821,0)</f>
        <v>63.564461941941396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IFERROR(__xludf.DUMMYFUNCTION("IMPORTRANGE(""https://docs.google.com/spreadsheets/d/19vJNZY_5yjcGF2XGBMNZRCAIB0Kwfpjp8YEOfu-bneM/edit?usp=sharing"",""งานกองทุน!C83"")"),37)</f>
        <v>37</v>
      </c>
      <c r="J822" s="37">
        <f ca="1">IFERROR(__xludf.DUMMYFUNCTION("IMPORTRANGE(""https://docs.google.com/spreadsheets/d/19vJNZY_5yjcGF2XGBMNZRCAIB0Kwfpjp8YEOfu-bneM/edit?usp=sharing"",""งานกองทุน!E83"")"),29)</f>
        <v>29</v>
      </c>
      <c r="K822" s="38">
        <f t="shared" ca="1" si="334"/>
        <v>78.378378378378372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IFERROR(__xludf.DUMMYFUNCTION("IMPORTRANGE(""https://docs.google.com/spreadsheets/d/19vJNZY_5yjcGF2XGBMNZRCAIB0Kwfpjp8YEOfu-bneM/edit?usp=sharing"",""งานกองทุน!I83"")"),0)</f>
        <v>0</v>
      </c>
      <c r="J823" s="37">
        <f ca="1">IFERROR(__xludf.DUMMYFUNCTION("IMPORTRANGE(""https://docs.google.com/spreadsheets/d/19vJNZY_5yjcGF2XGBMNZRCAIB0Kwfpjp8YEOfu-bneM/edit?usp=sharing"",""งานกองทุน!K83"")"),0)</f>
        <v>0</v>
      </c>
      <c r="K823" s="38">
        <f t="shared" ca="1" si="334"/>
        <v>0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IFERROR(__xludf.DUMMYFUNCTION("IMPORTRANGE(""https://docs.google.com/spreadsheets/d/19vJNZY_5yjcGF2XGBMNZRCAIB0Kwfpjp8YEOfu-bneM/edit?usp=sharing"",""งานกองทุน!H83"")"),0)</f>
        <v>0</v>
      </c>
      <c r="J824" s="37">
        <f ca="1">IFERROR(__xludf.DUMMYFUNCTION("IMPORTRANGE(""https://docs.google.com/spreadsheets/d/19vJNZY_5yjcGF2XGBMNZRCAIB0Kwfpjp8YEOfu-bneM/edit?usp=sharing"",""งานกองทุน!J83"")"),0)</f>
        <v>0</v>
      </c>
      <c r="K824" s="38">
        <f t="shared" ca="1" si="334"/>
        <v>0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IFERROR(__xludf.DUMMYFUNCTION("IMPORTRANGE(""https://docs.google.com/spreadsheets/d/19vJNZY_5yjcGF2XGBMNZRCAIB0Kwfpjp8YEOfu-bneM/edit?usp=sharing"",""งานกองทุน!N83"")"),0)</f>
        <v>0</v>
      </c>
      <c r="J825" s="37">
        <f ca="1">IFERROR(__xludf.DUMMYFUNCTION("IMPORTRANGE(""https://docs.google.com/spreadsheets/d/19vJNZY_5yjcGF2XGBMNZRCAIB0Kwfpjp8YEOfu-bneM/edit?usp=sharing"",""งานกองทุน!P83"")"),0)</f>
        <v>0</v>
      </c>
      <c r="K825" s="38">
        <f t="shared" ca="1" si="334"/>
        <v>0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IFERROR(__xludf.DUMMYFUNCTION("IMPORTRANGE(""https://docs.google.com/spreadsheets/d/19vJNZY_5yjcGF2XGBMNZRCAIB0Kwfpjp8YEOfu-bneM/edit?usp=sharing"",""งานกองทุน!M83"")"),0)</f>
        <v>0</v>
      </c>
      <c r="J826" s="37">
        <f ca="1">IFERROR(__xludf.DUMMYFUNCTION("IMPORTRANGE(""https://docs.google.com/spreadsheets/d/19vJNZY_5yjcGF2XGBMNZRCAIB0Kwfpjp8YEOfu-bneM/edit?usp=sharing"",""งานกองทุน!O83"")"),0)</f>
        <v>0</v>
      </c>
      <c r="K826" s="38">
        <f t="shared" ca="1" si="334"/>
        <v>0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IFERROR(__xludf.DUMMYFUNCTION("IMPORTRANGE(""https://docs.google.com/spreadsheets/d/19vJNZY_5yjcGF2XGBMNZRCAIB0Kwfpjp8YEOfu-bneM/edit?usp=sharing"",""งานกองทุน!S83"")"),200000)</f>
        <v>200000</v>
      </c>
      <c r="J827" s="37">
        <f ca="1">IFERROR(__xludf.DUMMYFUNCTION("IMPORTRANGE(""https://docs.google.com/spreadsheets/d/19vJNZY_5yjcGF2XGBMNZRCAIB0Kwfpjp8YEOfu-bneM/edit?usp=sharing"",""งานกองทุน!U83"")"),300000)</f>
        <v>300000</v>
      </c>
      <c r="K827" s="38">
        <f t="shared" ca="1" si="334"/>
        <v>150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IFERROR(__xludf.DUMMYFUNCTION("IMPORTRANGE(""https://docs.google.com/spreadsheets/d/19vJNZY_5yjcGF2XGBMNZRCAIB0Kwfpjp8YEOfu-bneM/edit?usp=sharing"",""งานกองทุน!R83"")"),8)</f>
        <v>8</v>
      </c>
      <c r="J828" s="365">
        <f ca="1">IFERROR(__xludf.DUMMYFUNCTION("IMPORTRANGE(""https://docs.google.com/spreadsheets/d/19vJNZY_5yjcGF2XGBMNZRCAIB0Kwfpjp8YEOfu-bneM/edit?usp=sharing"",""งานกองทุน!T83"")"),6)</f>
        <v>6</v>
      </c>
      <c r="K828" s="475">
        <f t="shared" ca="1" si="334"/>
        <v>75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8C076-9E9C-48A3-987F-E7C35FB531E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3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349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2885815</v>
      </c>
      <c r="M8" s="22">
        <f t="shared" ca="1" si="0"/>
        <v>3025679</v>
      </c>
      <c r="N8" s="22">
        <f t="shared" ca="1" si="0"/>
        <v>2274944.8200000003</v>
      </c>
      <c r="O8" s="22">
        <f t="shared" ref="O8:O16" ca="1" si="1">IF(L8&gt;0,N8*100/L8,0)</f>
        <v>78.831970171338085</v>
      </c>
      <c r="P8" s="22">
        <f t="shared" ref="P8:P16" ca="1" si="2">IF(M8&gt;0,N8*100/M8,0)</f>
        <v>75.187910548343041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2885815</v>
      </c>
      <c r="M10" s="30">
        <f t="shared" ca="1" si="3"/>
        <v>3025679</v>
      </c>
      <c r="N10" s="30">
        <f t="shared" ca="1" si="3"/>
        <v>2274944.8200000003</v>
      </c>
      <c r="O10" s="30">
        <f t="shared" ca="1" si="1"/>
        <v>78.831970171338085</v>
      </c>
      <c r="P10" s="30">
        <f t="shared" ca="1" si="2"/>
        <v>75.187910548343041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2724015</v>
      </c>
      <c r="M11" s="38">
        <f t="shared" ca="1" si="4"/>
        <v>2863879</v>
      </c>
      <c r="N11" s="38">
        <f t="shared" ca="1" si="4"/>
        <v>2113144.8200000003</v>
      </c>
      <c r="O11" s="38">
        <f t="shared" ca="1" si="1"/>
        <v>77.574639640383779</v>
      </c>
      <c r="P11" s="38">
        <f t="shared" ca="1" si="2"/>
        <v>73.786106885102342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2724015</v>
      </c>
      <c r="M13" s="45">
        <f t="shared" ca="1" si="5"/>
        <v>2863879</v>
      </c>
      <c r="N13" s="45">
        <f t="shared" ca="1" si="5"/>
        <v>2113144.8200000003</v>
      </c>
      <c r="O13" s="45">
        <f t="shared" ca="1" si="1"/>
        <v>77.574639640383779</v>
      </c>
      <c r="P13" s="45">
        <f t="shared" ca="1" si="2"/>
        <v>73.786106885102342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161800</v>
      </c>
      <c r="M14" s="38">
        <f t="shared" ca="1" si="6"/>
        <v>161800</v>
      </c>
      <c r="N14" s="38">
        <f t="shared" ca="1" si="6"/>
        <v>161800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2231404</v>
      </c>
      <c r="N18" s="22">
        <f t="shared" ca="1" si="8"/>
        <v>1757061.1600000001</v>
      </c>
      <c r="O18" s="22">
        <f t="shared" ref="O18:O26" ca="1" si="9">IF(L18&gt;0,N18*100/L18,0)</f>
        <v>84.008011321801163</v>
      </c>
      <c r="P18" s="22">
        <f t="shared" ref="P18:P26" ca="1" si="10">IF(M18&gt;0,N18*100/M18,0)</f>
        <v>78.74240433377372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2231404</v>
      </c>
      <c r="N20" s="30">
        <f t="shared" ca="1" si="11"/>
        <v>1757061.1600000001</v>
      </c>
      <c r="O20" s="30">
        <f t="shared" ca="1" si="9"/>
        <v>84.008011321801163</v>
      </c>
      <c r="P20" s="30">
        <f t="shared" ca="1" si="10"/>
        <v>78.74240433377372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1929740</v>
      </c>
      <c r="M21" s="38">
        <f t="shared" ca="1" si="12"/>
        <v>2069604</v>
      </c>
      <c r="N21" s="38">
        <f t="shared" ca="1" si="12"/>
        <v>1595261.1600000001</v>
      </c>
      <c r="O21" s="38">
        <f t="shared" ca="1" si="9"/>
        <v>82.66715516079887</v>
      </c>
      <c r="P21" s="38">
        <f t="shared" ca="1" si="10"/>
        <v>77.080502356972644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1929740</v>
      </c>
      <c r="M23" s="45">
        <f t="shared" ca="1" si="13"/>
        <v>2069604</v>
      </c>
      <c r="N23" s="45">
        <f t="shared" ca="1" si="13"/>
        <v>1595261.1600000001</v>
      </c>
      <c r="O23" s="45">
        <f t="shared" ca="1" si="9"/>
        <v>82.66715516079887</v>
      </c>
      <c r="P23" s="45">
        <f t="shared" ca="1" si="10"/>
        <v>77.080502356972644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161800</v>
      </c>
      <c r="M24" s="38">
        <f t="shared" ca="1" si="14"/>
        <v>161800</v>
      </c>
      <c r="N24" s="38">
        <f t="shared" ca="1" si="14"/>
        <v>161800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794275</v>
      </c>
      <c r="M28" s="22">
        <f t="shared" ca="1" si="16"/>
        <v>794275</v>
      </c>
      <c r="N28" s="22">
        <f t="shared" si="16"/>
        <v>517883.66000000003</v>
      </c>
      <c r="O28" s="22">
        <f t="shared" ref="O28:O37" ca="1" si="17">IF(L28&gt;0,N28*100/L28,0)</f>
        <v>65.202059740014477</v>
      </c>
      <c r="P28" s="22">
        <f t="shared" ref="P28:P37" ca="1" si="18">IF(M28&gt;0,N28*100/M28,0)</f>
        <v>65.202059740014477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794275</v>
      </c>
      <c r="M30" s="30">
        <f t="shared" ca="1" si="19"/>
        <v>794275</v>
      </c>
      <c r="N30" s="30">
        <f t="shared" si="19"/>
        <v>517883.66000000003</v>
      </c>
      <c r="O30" s="30">
        <f t="shared" ca="1" si="17"/>
        <v>65.202059740014477</v>
      </c>
      <c r="P30" s="30">
        <f t="shared" ca="1" si="18"/>
        <v>65.202059740014477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794275</v>
      </c>
      <c r="M31" s="38">
        <f t="shared" ca="1" si="20"/>
        <v>794275</v>
      </c>
      <c r="N31" s="38">
        <f t="shared" si="20"/>
        <v>517883.66000000003</v>
      </c>
      <c r="O31" s="38">
        <f t="shared" ca="1" si="17"/>
        <v>65.202059740014477</v>
      </c>
      <c r="P31" s="38">
        <f t="shared" ca="1" si="18"/>
        <v>65.202059740014477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794275</v>
      </c>
      <c r="M33" s="45">
        <f t="shared" ca="1" si="21"/>
        <v>794275</v>
      </c>
      <c r="N33" s="45">
        <f t="shared" si="21"/>
        <v>517883.66000000003</v>
      </c>
      <c r="O33" s="45">
        <f t="shared" ca="1" si="17"/>
        <v>65.202059740014477</v>
      </c>
      <c r="P33" s="45">
        <f t="shared" ca="1" si="18"/>
        <v>65.202059740014477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2091540</v>
      </c>
      <c r="M37" s="792">
        <f t="shared" ca="1" si="24"/>
        <v>2231404</v>
      </c>
      <c r="N37" s="792">
        <f t="shared" ca="1" si="24"/>
        <v>1757061.1600000001</v>
      </c>
      <c r="O37" s="792">
        <f t="shared" ca="1" si="17"/>
        <v>84.008011321801163</v>
      </c>
      <c r="P37" s="792">
        <f t="shared" ca="1" si="18"/>
        <v>78.74240433377372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239634</v>
      </c>
      <c r="N41" s="85">
        <f t="shared" ca="1" si="25"/>
        <v>174393</v>
      </c>
      <c r="O41" s="85">
        <f t="shared" ref="O41:O49" ca="1" si="26">IF(L41&gt;0,N41*100/L41,0)</f>
        <v>93.40814140332084</v>
      </c>
      <c r="P41" s="85">
        <f t="shared" ref="P41:P49" ca="1" si="27">IF(M41&gt;0,N41*100/M41,0)</f>
        <v>72.774731465484862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239634</v>
      </c>
      <c r="N43" s="92">
        <f t="shared" ca="1" si="28"/>
        <v>174393</v>
      </c>
      <c r="O43" s="92">
        <f t="shared" ca="1" si="26"/>
        <v>93.40814140332084</v>
      </c>
      <c r="P43" s="92">
        <f t="shared" ca="1" si="27"/>
        <v>72.774731465484862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186700</v>
      </c>
      <c r="M44" s="38">
        <f t="shared" ca="1" si="29"/>
        <v>239634</v>
      </c>
      <c r="N44" s="38">
        <f t="shared" ca="1" si="29"/>
        <v>174393</v>
      </c>
      <c r="O44" s="38">
        <f t="shared" ca="1" si="26"/>
        <v>93.40814140332084</v>
      </c>
      <c r="P44" s="38">
        <f t="shared" ca="1" si="27"/>
        <v>72.774731465484862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IFERROR(__xludf.DUMMYFUNCTION("IMPORTRANGE(""https://docs.google.com/spreadsheets/d/1MeEWN-I1oV_STSDYn1IFDPWt_1FKiwhDph83XaGc0o0/edit?usp=sharing"",""งบพรบ!M84"")"),186700)</f>
        <v>186700</v>
      </c>
      <c r="M46" s="45">
        <f ca="1">IFERROR(__xludf.DUMMYFUNCTION("IMPORTRANGE(""https://docs.google.com/spreadsheets/d/1MeEWN-I1oV_STSDYn1IFDPWt_1FKiwhDph83XaGc0o0/edit?usp=sharing"",""งบพรบ!R84"")"),239634)</f>
        <v>239634</v>
      </c>
      <c r="N46" s="45">
        <f ca="1">IFERROR(__xludf.DUMMYFUNCTION("IMPORTRANGE(""https://docs.google.com/spreadsheets/d/1MeEWN-I1oV_STSDYn1IFDPWt_1FKiwhDph83XaGc0o0/edit?usp=sharing"",""งบพรบ!T84"")"),174393)</f>
        <v>174393</v>
      </c>
      <c r="O46" s="45">
        <f t="shared" ca="1" si="26"/>
        <v>93.40814140332084</v>
      </c>
      <c r="P46" s="45">
        <f t="shared" ca="1" si="27"/>
        <v>72.774731465484862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618600</v>
      </c>
      <c r="M53" s="115">
        <f t="shared" ca="1" si="31"/>
        <v>626600</v>
      </c>
      <c r="N53" s="115">
        <f t="shared" ca="1" si="31"/>
        <v>557123.58000000007</v>
      </c>
      <c r="O53" s="115">
        <f t="shared" ref="O53:O61" ca="1" si="32">IF(L53&gt;0,N53*100/L53,0)</f>
        <v>90.062007759456847</v>
      </c>
      <c r="P53" s="115">
        <f t="shared" ref="P53:P61" ca="1" si="33">IF(M53&gt;0,N53*100/M53,0)</f>
        <v>88.912157676348556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618600</v>
      </c>
      <c r="M55" s="122">
        <f t="shared" ca="1" si="34"/>
        <v>626600</v>
      </c>
      <c r="N55" s="122">
        <f t="shared" ca="1" si="34"/>
        <v>557123.58000000007</v>
      </c>
      <c r="O55" s="122">
        <f t="shared" ca="1" si="32"/>
        <v>90.062007759456847</v>
      </c>
      <c r="P55" s="122">
        <f t="shared" ca="1" si="33"/>
        <v>88.912157676348556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570600</v>
      </c>
      <c r="M56" s="38">
        <f t="shared" ca="1" si="35"/>
        <v>578600</v>
      </c>
      <c r="N56" s="38">
        <f t="shared" ca="1" si="35"/>
        <v>509123.58</v>
      </c>
      <c r="O56" s="38">
        <f t="shared" ca="1" si="32"/>
        <v>89.22600420609885</v>
      </c>
      <c r="P56" s="38">
        <f t="shared" ca="1" si="33"/>
        <v>87.992322848254403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IFERROR(__xludf.DUMMYFUNCTION("IMPORTRANGE(""https://docs.google.com/spreadsheets/d/1MeEWN-I1oV_STSDYn1IFDPWt_1FKiwhDph83XaGc0o0/edit?usp=sharing"",""งบพรบ!W84"")"),570600)</f>
        <v>570600</v>
      </c>
      <c r="M58" s="45">
        <f ca="1">IFERROR(__xludf.DUMMYFUNCTION("IMPORTRANGE(""https://docs.google.com/spreadsheets/d/1MeEWN-I1oV_STSDYn1IFDPWt_1FKiwhDph83XaGc0o0/edit?usp=sharing"",""งบพรบ!AB84"")"),578600)</f>
        <v>578600</v>
      </c>
      <c r="N58" s="45">
        <f ca="1">IFERROR(__xludf.DUMMYFUNCTION("IMPORTRANGE(""https://docs.google.com/spreadsheets/d/1MeEWN-I1oV_STSDYn1IFDPWt_1FKiwhDph83XaGc0o0/edit?usp=sharing"",""งบพรบ!AD84"")"),509123.58)</f>
        <v>509123.58</v>
      </c>
      <c r="O58" s="45">
        <f t="shared" ca="1" si="32"/>
        <v>89.22600420609885</v>
      </c>
      <c r="P58" s="45">
        <f t="shared" ca="1" si="33"/>
        <v>87.992322848254403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48000</v>
      </c>
      <c r="M59" s="38">
        <f t="shared" ca="1" si="36"/>
        <v>48000</v>
      </c>
      <c r="N59" s="38">
        <f t="shared" ca="1" si="36"/>
        <v>48000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IFERROR(__xludf.DUMMYFUNCTION("IMPORTRANGE(""https://docs.google.com/spreadsheets/d/1MeEWN-I1oV_STSDYn1IFDPWt_1FKiwhDph83XaGc0o0/edit?usp=sharing"",""งบพรบ!AG84"")"),0)</f>
        <v>0</v>
      </c>
      <c r="M71" s="45">
        <f ca="1">IFERROR(__xludf.DUMMYFUNCTION("IMPORTRANGE(""https://docs.google.com/spreadsheets/d/1MeEWN-I1oV_STSDYn1IFDPWt_1FKiwhDph83XaGc0o0/edit?usp=sharing"",""งบพรบ!AL84"")"),0)</f>
        <v>0</v>
      </c>
      <c r="N71" s="45">
        <f ca="1">IFERROR(__xludf.DUMMYFUNCTION("IMPORTRANGE(""https://docs.google.com/spreadsheets/d/1MeEWN-I1oV_STSDYn1IFDPWt_1FKiwhDph83XaGc0o0/edit?usp=sharing"",""งบพรบ!AN84"")"),0)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IFERROR(__xludf.DUMMYFUNCTION("IMPORTRANGE(""https://docs.google.com/spreadsheets/d/1MeEWN-I1oV_STSDYn1IFDPWt_1FKiwhDph83XaGc0o0/edit?usp=sharing"",""งบพรบ!AJ84"")"),0)</f>
        <v>0</v>
      </c>
      <c r="M74" s="45">
        <f ca="1">IFERROR(__xludf.DUMMYFUNCTION("IMPORTRANGE(""https://docs.google.com/spreadsheets/d/1MeEWN-I1oV_STSDYn1IFDPWt_1FKiwhDph83XaGc0o0/edit?usp=sharing"",""งบพรบ!AM84"")"),0)</f>
        <v>0</v>
      </c>
      <c r="N74" s="45">
        <f ca="1">IFERROR(__xludf.DUMMYFUNCTION("IMPORTRANGE(""https://docs.google.com/spreadsheets/d/1MeEWN-I1oV_STSDYn1IFDPWt_1FKiwhDph83XaGc0o0/edit?usp=sharing"",""งบพรบ!AO84"")"),0)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IFERROR(__xludf.DUMMYFUNCTION("IMPORTRANGE(""https://docs.google.com/spreadsheets/d/1QqKyyYR6Q21VydFLVH3TRQUabQu_ym0Zz7PgGX0-kHA/edit?usp=sharing"",""แผน!H84"")"),0)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IFERROR(__xludf.DUMMYFUNCTION("IMPORTRANGE(""https://docs.google.com/spreadsheets/d/1QqKyyYR6Q21VydFLVH3TRQUabQu_ym0Zz7PgGX0-kHA/edit?usp=sharing"",""แผน!I84"")"),0)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IFERROR(__xludf.DUMMYFUNCTION("IMPORTRANGE(""https://docs.google.com/spreadsheets/d/1QqKyyYR6Q21VydFLVH3TRQUabQu_ym0Zz7PgGX0-kHA/edit?usp=sharing"",""แผน!F84"")"),0)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IFERROR(__xludf.DUMMYFUNCTION("IMPORTRANGE(""https://docs.google.com/spreadsheets/d/1QqKyyYR6Q21VydFLVH3TRQUabQu_ym0Zz7PgGX0-kHA/edit?usp=sharing"",""แผน!G84"")"),0)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IFERROR(__xludf.DUMMYFUNCTION("IMPORTRANGE(""https://docs.google.com/spreadsheets/d/1QqKyyYR6Q21VydFLVH3TRQUabQu_ym0Zz7PgGX0-kHA/edit?usp=sharing"",""แผน!D84"")"),0)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IFERROR(__xludf.DUMMYFUNCTION("IMPORTRANGE(""https://docs.google.com/spreadsheets/d/1QqKyyYR6Q21VydFLVH3TRQUabQu_ym0Zz7PgGX0-kHA/edit?usp=sharing"",""แผน!E84"")"),0)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IFERROR(__xludf.DUMMYFUNCTION("IMPORTRANGE(""https://docs.google.com/spreadsheets/d/1QqKyyYR6Q21VydFLVH3TRQUabQu_ym0Zz7PgGX0-kHA/edit?usp=sharing"",""แผน!J84"")"),0)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245340</v>
      </c>
      <c r="M88" s="154">
        <f t="shared" ca="1" si="49"/>
        <v>245340</v>
      </c>
      <c r="N88" s="154">
        <f t="shared" ca="1" si="49"/>
        <v>185685.54</v>
      </c>
      <c r="O88" s="154">
        <f t="shared" ref="O88:O96" ca="1" si="50">IF(L88&gt;0,N88*100/L88,0)</f>
        <v>75.684984103692841</v>
      </c>
      <c r="P88" s="154">
        <f t="shared" ref="P88:P96" ca="1" si="51">IF(M88&gt;0,N88*100/M88,0)</f>
        <v>75.684984103692841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245340</v>
      </c>
      <c r="M90" s="45">
        <f t="shared" ca="1" si="52"/>
        <v>245340</v>
      </c>
      <c r="N90" s="45">
        <f t="shared" ca="1" si="52"/>
        <v>185685.54</v>
      </c>
      <c r="O90" s="45">
        <f t="shared" ca="1" si="50"/>
        <v>75.684984103692841</v>
      </c>
      <c r="P90" s="45">
        <f t="shared" ca="1" si="51"/>
        <v>75.684984103692841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245340</v>
      </c>
      <c r="M91" s="38">
        <f t="shared" ca="1" si="53"/>
        <v>245340</v>
      </c>
      <c r="N91" s="38">
        <f t="shared" ca="1" si="53"/>
        <v>185685.54</v>
      </c>
      <c r="O91" s="38">
        <f t="shared" ca="1" si="50"/>
        <v>75.684984103692841</v>
      </c>
      <c r="P91" s="38">
        <f t="shared" ca="1" si="51"/>
        <v>75.684984103692841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IFERROR(__xludf.DUMMYFUNCTION("IMPORTRANGE(""https://docs.google.com/spreadsheets/d/1MeEWN-I1oV_STSDYn1IFDPWt_1FKiwhDph83XaGc0o0/edit?usp=sharing"",""งบพรบ!AQ84"")"),245340)</f>
        <v>245340</v>
      </c>
      <c r="M93" s="45">
        <f ca="1">IFERROR(__xludf.DUMMYFUNCTION("IMPORTRANGE(""https://docs.google.com/spreadsheets/d/1MeEWN-I1oV_STSDYn1IFDPWt_1FKiwhDph83XaGc0o0/edit?usp=sharing"",""งบพรบ!AV84"")"),245340)</f>
        <v>245340</v>
      </c>
      <c r="N93" s="45">
        <f ca="1">IFERROR(__xludf.DUMMYFUNCTION("IMPORTRANGE(""https://docs.google.com/spreadsheets/d/1MeEWN-I1oV_STSDYn1IFDPWt_1FKiwhDph83XaGc0o0/edit?usp=sharing"",""งบพรบ!AX84"")"),185685.54)</f>
        <v>185685.54</v>
      </c>
      <c r="O93" s="45">
        <f t="shared" ca="1" si="50"/>
        <v>75.684984103692841</v>
      </c>
      <c r="P93" s="45">
        <f t="shared" ca="1" si="51"/>
        <v>75.684984103692841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IFERROR(__xludf.DUMMYFUNCTION("IMPORTRANGE(""https://docs.google.com/spreadsheets/d/1MeEWN-I1oV_STSDYn1IFDPWt_1FKiwhDph83XaGc0o0/edit?usp=sharing"",""งบพรบ!AT84"")"),0)</f>
        <v>0</v>
      </c>
      <c r="M96" s="45">
        <f ca="1">IFERROR(__xludf.DUMMYFUNCTION("IMPORTRANGE(""https://docs.google.com/spreadsheets/d/1MeEWN-I1oV_STSDYn1IFDPWt_1FKiwhDph83XaGc0o0/edit?usp=sharing"",""งบพรบ!AW84"")"),0)</f>
        <v>0</v>
      </c>
      <c r="N96" s="45">
        <f ca="1">IFERROR(__xludf.DUMMYFUNCTION("IMPORTRANGE(""https://docs.google.com/spreadsheets/d/1MeEWN-I1oV_STSDYn1IFDPWt_1FKiwhDph83XaGc0o0/edit?usp=sharing"",""งบพรบ!AY84"")"),0)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IFERROR(__xludf.DUMMYFUNCTION("IMPORTRANGE(""https://docs.google.com/spreadsheets/d/1QqKyyYR6Q21VydFLVH3TRQUabQu_ym0Zz7PgGX0-kHA/edit?usp=sharing"",""แผน!K84"")"),30)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IFERROR(__xludf.DUMMYFUNCTION("IMPORTRANGE(""https://docs.google.com/spreadsheets/d/1QqKyyYR6Q21VydFLVH3TRQUabQu_ym0Zz7PgGX0-kHA/edit?usp=sharing"",""แผน!L84"")"),10)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IFERROR(__xludf.DUMMYFUNCTION("IMPORTRANGE(""https://docs.google.com/spreadsheets/d/1QqKyyYR6Q21VydFLVH3TRQUabQu_ym0Zz7PgGX0-kHA/edit?usp=sharing"",""แผน!M84"")"),2)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IFERROR(__xludf.DUMMYFUNCTION("IMPORTRANGE(""https://docs.google.com/spreadsheets/d/1QqKyyYR6Q21VydFLVH3TRQUabQu_ym0Zz7PgGX0-kHA/edit?usp=sharing"",""แผน!N84"")"),30)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IFERROR(__xludf.DUMMYFUNCTION("IMPORTRANGE(""https://docs.google.com/spreadsheets/d/1QqKyyYR6Q21VydFLVH3TRQUabQu_ym0Zz7PgGX0-kHA/edit?usp=sharing"",""แผน!O84"")"),10)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IFERROR(__xludf.DUMMYFUNCTION("IMPORTRANGE(""https://docs.google.com/spreadsheets/d/1QqKyyYR6Q21VydFLVH3TRQUabQu_ym0Zz7PgGX0-kHA/edit?usp=sharing"",""แผน!O84"")"),10)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IFERROR(__xludf.DUMMYFUNCTION("IMPORTRANGE(""https://docs.google.com/spreadsheets/d/1QqKyyYR6Q21VydFLVH3TRQUabQu_ym0Zz7PgGX0-kHA/edit?usp=sharing"",""แผน!P84"")"),1)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IFERROR(__xludf.DUMMYFUNCTION("IMPORTRANGE(""https://docs.google.com/spreadsheets/d/1QqKyyYR6Q21VydFLVH3TRQUabQu_ym0Zz7PgGX0-kHA/edit?usp=sharing"",""แผน!P84"")"),1)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IFERROR(__xludf.DUMMYFUNCTION("IMPORTRANGE(""https://docs.google.com/spreadsheets/d/1QqKyyYR6Q21VydFLVH3TRQUabQu_ym0Zz7PgGX0-kHA/edit?usp=sharing"",""แผน!Q84"")"),1)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IFERROR(__xludf.DUMMYFUNCTION("IMPORTRANGE(""https://docs.google.com/spreadsheets/d/1QqKyyYR6Q21VydFLVH3TRQUabQu_ym0Zz7PgGX0-kHA/edit?usp=sharing"",""แผน!Q84"")"),1)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IFERROR(__xludf.DUMMYFUNCTION("IMPORTRANGE(""https://docs.google.com/spreadsheets/d/1QqKyyYR6Q21VydFLVH3TRQUabQu_ym0Zz7PgGX0-kHA/edit?usp=sharing"",""แผน!R84"")"),10)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IFERROR(__xludf.DUMMYFUNCTION("IMPORTRANGE(""https://docs.google.com/spreadsheets/d/1QqKyyYR6Q21VydFLVH3TRQUabQu_ym0Zz7PgGX0-kHA/edit?usp=sharing"",""แผน!R84"")"),10)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IFERROR(__xludf.DUMMYFUNCTION("IMPORTRANGE(""https://docs.google.com/spreadsheets/d/1QqKyyYR6Q21VydFLVH3TRQUabQu_ym0Zz7PgGX0-kHA/edit?usp=sharing"",""แผน!R84"")"),10)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IFERROR(__xludf.DUMMYFUNCTION("IMPORTRANGE(""https://docs.google.com/spreadsheets/d/1QqKyyYR6Q21VydFLVH3TRQUabQu_ym0Zz7PgGX0-kHA/edit?usp=sharing"",""แผน!S84"")"),1)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IFERROR(__xludf.DUMMYFUNCTION("IMPORTRANGE(""https://docs.google.com/spreadsheets/d/1QqKyyYR6Q21VydFLVH3TRQUabQu_ym0Zz7PgGX0-kHA/edit?usp=sharing"",""แผน!T84"")"),1)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IFERROR(__xludf.DUMMYFUNCTION("IMPORTRANGE(""https://docs.google.com/spreadsheets/d/1MeEWN-I1oV_STSDYn1IFDPWt_1FKiwhDph83XaGc0o0/edit?usp=sharing"",""งบพรบ!BA84"")"),0)</f>
        <v>0</v>
      </c>
      <c r="M124" s="45">
        <f ca="1">IFERROR(__xludf.DUMMYFUNCTION("IMPORTRANGE(""https://docs.google.com/spreadsheets/d/1MeEWN-I1oV_STSDYn1IFDPWt_1FKiwhDph83XaGc0o0/edit?usp=sharing"",""งบพรบ!BF84"")"),0)</f>
        <v>0</v>
      </c>
      <c r="N124" s="45">
        <f ca="1">IFERROR(__xludf.DUMMYFUNCTION("IMPORTRANGE(""https://docs.google.com/spreadsheets/d/1MeEWN-I1oV_STSDYn1IFDPWt_1FKiwhDph83XaGc0o0/edit?usp=sharing"",""งบพรบ!BH84"")"),0)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IFERROR(__xludf.DUMMYFUNCTION("IMPORTRANGE(""https://docs.google.com/spreadsheets/d/1MeEWN-I1oV_STSDYn1IFDPWt_1FKiwhDph83XaGc0o0/edit?usp=sharing"",""งบพรบ!BD84"")"),0)</f>
        <v>0</v>
      </c>
      <c r="M127" s="45">
        <f ca="1">IFERROR(__xludf.DUMMYFUNCTION("IMPORTRANGE(""https://docs.google.com/spreadsheets/d/1MeEWN-I1oV_STSDYn1IFDPWt_1FKiwhDph83XaGc0o0/edit?usp=sharing"",""งบพรบ!BG84"")"),0)</f>
        <v>0</v>
      </c>
      <c r="N127" s="45">
        <f ca="1">IFERROR(__xludf.DUMMYFUNCTION("IMPORTRANGE(""https://docs.google.com/spreadsheets/d/1MeEWN-I1oV_STSDYn1IFDPWt_1FKiwhDph83XaGc0o0/edit?usp=sharing"",""งบพรบ!BI84"")"),0)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IFERROR(__xludf.DUMMYFUNCTION("IMPORTRANGE(""https://docs.google.com/spreadsheets/d/1MeEWN-I1oV_STSDYn1IFDPWt_1FKiwhDph83XaGc0o0/edit?usp=sharing"",""งบพรบ!BK84"")"),0)</f>
        <v>0</v>
      </c>
      <c r="M137" s="45">
        <f ca="1">IFERROR(__xludf.DUMMYFUNCTION("IMPORTRANGE(""https://docs.google.com/spreadsheets/d/1MeEWN-I1oV_STSDYn1IFDPWt_1FKiwhDph83XaGc0o0/edit?usp=sharing"",""งบพรบ!BP84"")"),0)</f>
        <v>0</v>
      </c>
      <c r="N137" s="45">
        <f ca="1">IFERROR(__xludf.DUMMYFUNCTION("IMPORTRANGE(""https://docs.google.com/spreadsheets/d/1MeEWN-I1oV_STSDYn1IFDPWt_1FKiwhDph83XaGc0o0/edit?usp=sharing"",""งบพรบ!BR84"")"),0)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IFERROR(__xludf.DUMMYFUNCTION("IMPORTRANGE(""https://docs.google.com/spreadsheets/d/1MeEWN-I1oV_STSDYn1IFDPWt_1FKiwhDph83XaGc0o0/edit?usp=sharing"",""งบพรบ!BN84"")"),0)</f>
        <v>0</v>
      </c>
      <c r="M140" s="45">
        <f ca="1">IFERROR(__xludf.DUMMYFUNCTION("IMPORTRANGE(""https://docs.google.com/spreadsheets/d/1MeEWN-I1oV_STSDYn1IFDPWt_1FKiwhDph83XaGc0o0/edit?usp=sharing"",""งบพรบ!BQ84"")"),0)</f>
        <v>0</v>
      </c>
      <c r="N140" s="45">
        <f ca="1">IFERROR(__xludf.DUMMYFUNCTION("IMPORTRANGE(""https://docs.google.com/spreadsheets/d/1MeEWN-I1oV_STSDYn1IFDPWt_1FKiwhDph83XaGc0o0/edit?usp=sharing"",""งบพรบ!BS84"")"),0)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IFERROR(__xludf.DUMMYFUNCTION("IMPORTRANGE(""https://docs.google.com/spreadsheets/d/1QqKyyYR6Q21VydFLVH3TRQUabQu_ym0Zz7PgGX0-kHA/edit?usp=sharing"",""แผน!U84"")"),0)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IFERROR(__xludf.DUMMYFUNCTION("IMPORTRANGE(""https://docs.google.com/spreadsheets/d/1QqKyyYR6Q21VydFLVH3TRQUabQu_ym0Zz7PgGX0-kHA/edit?usp=sharing"",""แผน!V84"")"),0)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IFERROR(__xludf.DUMMYFUNCTION("IMPORTRANGE(""https://docs.google.com/spreadsheets/d/1QqKyyYR6Q21VydFLVH3TRQUabQu_ym0Zz7PgGX0-kHA/edit?usp=sharing"",""แผน!W84"")"),0)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IFERROR(__xludf.DUMMYFUNCTION("IMPORTRANGE(""https://docs.google.com/spreadsheets/d/1MeEWN-I1oV_STSDYn1IFDPWt_1FKiwhDph83XaGc0o0/edit?usp=sharing"",""งบพรบ!BU84"")"),0)</f>
        <v>0</v>
      </c>
      <c r="M154" s="45">
        <f ca="1">IFERROR(__xludf.DUMMYFUNCTION("IMPORTRANGE(""https://docs.google.com/spreadsheets/d/1MeEWN-I1oV_STSDYn1IFDPWt_1FKiwhDph83XaGc0o0/edit?usp=sharing"",""งบพรบ!BZ84"")"),0)</f>
        <v>0</v>
      </c>
      <c r="N154" s="45">
        <f ca="1">IFERROR(__xludf.DUMMYFUNCTION("IMPORTRANGE(""https://docs.google.com/spreadsheets/d/1MeEWN-I1oV_STSDYn1IFDPWt_1FKiwhDph83XaGc0o0/edit?usp=sharing"",""งบพรบ!CB84"")"),0)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IFERROR(__xludf.DUMMYFUNCTION("IMPORTRANGE(""https://docs.google.com/spreadsheets/d/1MeEWN-I1oV_STSDYn1IFDPWt_1FKiwhDph83XaGc0o0/edit?usp=sharing"",""งบพรบ!BX84"")"),0)</f>
        <v>0</v>
      </c>
      <c r="M157" s="45">
        <f ca="1">IFERROR(__xludf.DUMMYFUNCTION("IMPORTRANGE(""https://docs.google.com/spreadsheets/d/1MeEWN-I1oV_STSDYn1IFDPWt_1FKiwhDph83XaGc0o0/edit?usp=sharing"",""งบพรบ!CA84"")"),0)</f>
        <v>0</v>
      </c>
      <c r="N157" s="45">
        <f ca="1">IFERROR(__xludf.DUMMYFUNCTION("IMPORTRANGE(""https://docs.google.com/spreadsheets/d/1MeEWN-I1oV_STSDYn1IFDPWt_1FKiwhDph83XaGc0o0/edit?usp=sharing"",""งบพรบ!CC84"")"),0)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IFERROR(__xludf.DUMMYFUNCTION("IMPORTRANGE(""https://docs.google.com/spreadsheets/d/1QqKyyYR6Q21VydFLVH3TRQUabQu_ym0Zz7PgGX0-kHA/edit?usp=sharing"",""แผน!X84"")"),0)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42480</v>
      </c>
      <c r="N165" s="154">
        <f t="shared" ca="1" si="84"/>
        <v>42480</v>
      </c>
      <c r="O165" s="154">
        <f t="shared" ref="O165:O173" ca="1" si="85">IF(L165&gt;0,N165*100/L165,0)</f>
        <v>201.80522565320666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42480</v>
      </c>
      <c r="N167" s="45">
        <f t="shared" ca="1" si="87"/>
        <v>42480</v>
      </c>
      <c r="O167" s="45">
        <f t="shared" ca="1" si="85"/>
        <v>201.80522565320666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42480</v>
      </c>
      <c r="N168" s="38">
        <f t="shared" ca="1" si="88"/>
        <v>42480</v>
      </c>
      <c r="O168" s="38">
        <f t="shared" ca="1" si="85"/>
        <v>201.80522565320666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IFERROR(__xludf.DUMMYFUNCTION("IMPORTRANGE(""https://docs.google.com/spreadsheets/d/1MeEWN-I1oV_STSDYn1IFDPWt_1FKiwhDph83XaGc0o0/edit?usp=sharing"",""งบพรบ!CE84"")"),21050)</f>
        <v>21050</v>
      </c>
      <c r="M170" s="45">
        <f ca="1">IFERROR(__xludf.DUMMYFUNCTION("IMPORTRANGE(""https://docs.google.com/spreadsheets/d/1MeEWN-I1oV_STSDYn1IFDPWt_1FKiwhDph83XaGc0o0/edit?usp=sharing"",""งบพรบ!CJ84"")"),42480)</f>
        <v>42480</v>
      </c>
      <c r="N170" s="45">
        <f ca="1">IFERROR(__xludf.DUMMYFUNCTION("IMPORTRANGE(""https://docs.google.com/spreadsheets/d/1MeEWN-I1oV_STSDYn1IFDPWt_1FKiwhDph83XaGc0o0/edit?usp=sharing"",""งบพรบ!CL84"")"),42480)</f>
        <v>42480</v>
      </c>
      <c r="O170" s="45">
        <f t="shared" ca="1" si="85"/>
        <v>201.80522565320666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IFERROR(__xludf.DUMMYFUNCTION("IMPORTRANGE(""https://docs.google.com/spreadsheets/d/1MeEWN-I1oV_STSDYn1IFDPWt_1FKiwhDph83XaGc0o0/edit?usp=sharing"",""งบพรบ!CH84"")"),0)</f>
        <v>0</v>
      </c>
      <c r="M173" s="45">
        <f ca="1">IFERROR(__xludf.DUMMYFUNCTION("IMPORTRANGE(""https://docs.google.com/spreadsheets/d/1MeEWN-I1oV_STSDYn1IFDPWt_1FKiwhDph83XaGc0o0/edit?usp=sharing"",""งบพรบ!CK84"")"),0)</f>
        <v>0</v>
      </c>
      <c r="N173" s="45">
        <f ca="1">IFERROR(__xludf.DUMMYFUNCTION("IMPORTRANGE(""https://docs.google.com/spreadsheets/d/1MeEWN-I1oV_STSDYn1IFDPWt_1FKiwhDph83XaGc0o0/edit?usp=sharing"",""งบพรบ!CM84"")"),0)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IFERROR(__xludf.DUMMYFUNCTION("IMPORTRANGE(""https://docs.google.com/spreadsheets/d/1QqKyyYR6Q21VydFLVH3TRQUabQu_ym0Zz7PgGX0-kHA/edit?usp=sharing"",""แผน!Y84"")"),10)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25800</v>
      </c>
      <c r="M181" s="154">
        <f t="shared" ca="1" si="92"/>
        <v>25800</v>
      </c>
      <c r="N181" s="154">
        <f t="shared" ca="1" si="92"/>
        <v>17710</v>
      </c>
      <c r="O181" s="154">
        <f t="shared" ref="O181:O189" ca="1" si="93">IF(L181&gt;0,N181*100/L181,0)</f>
        <v>68.643410852713174</v>
      </c>
      <c r="P181" s="154">
        <f t="shared" ref="P181:P189" ca="1" si="94">IF(M181&gt;0,N181*100/M181,0)</f>
        <v>68.643410852713174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25800</v>
      </c>
      <c r="M183" s="45">
        <f t="shared" ca="1" si="95"/>
        <v>25800</v>
      </c>
      <c r="N183" s="45">
        <f t="shared" ca="1" si="95"/>
        <v>17710</v>
      </c>
      <c r="O183" s="45">
        <f t="shared" ca="1" si="93"/>
        <v>68.643410852713174</v>
      </c>
      <c r="P183" s="45">
        <f t="shared" ca="1" si="94"/>
        <v>68.643410852713174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25800</v>
      </c>
      <c r="M184" s="38">
        <f t="shared" ca="1" si="96"/>
        <v>25800</v>
      </c>
      <c r="N184" s="38">
        <f t="shared" ca="1" si="96"/>
        <v>17710</v>
      </c>
      <c r="O184" s="38">
        <f t="shared" ca="1" si="93"/>
        <v>68.643410852713174</v>
      </c>
      <c r="P184" s="38">
        <f t="shared" ca="1" si="94"/>
        <v>68.643410852713174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IFERROR(__xludf.DUMMYFUNCTION("IMPORTRANGE(""https://docs.google.com/spreadsheets/d/1MeEWN-I1oV_STSDYn1IFDPWt_1FKiwhDph83XaGc0o0/edit?usp=sharing"",""งบพรบ!CO84"")"),25800)</f>
        <v>25800</v>
      </c>
      <c r="M186" s="45">
        <f ca="1">IFERROR(__xludf.DUMMYFUNCTION("IMPORTRANGE(""https://docs.google.com/spreadsheets/d/1MeEWN-I1oV_STSDYn1IFDPWt_1FKiwhDph83XaGc0o0/edit?usp=sharing"",""งบพรบ!CT84"")"),25800)</f>
        <v>25800</v>
      </c>
      <c r="N186" s="45">
        <f ca="1">IFERROR(__xludf.DUMMYFUNCTION("IMPORTRANGE(""https://docs.google.com/spreadsheets/d/1MeEWN-I1oV_STSDYn1IFDPWt_1FKiwhDph83XaGc0o0/edit?usp=sharing"",""งบพรบ!CV84"")"),17710)</f>
        <v>17710</v>
      </c>
      <c r="O186" s="45">
        <f t="shared" ca="1" si="93"/>
        <v>68.643410852713174</v>
      </c>
      <c r="P186" s="45">
        <f t="shared" ca="1" si="94"/>
        <v>68.643410852713174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IFERROR(__xludf.DUMMYFUNCTION("IMPORTRANGE(""https://docs.google.com/spreadsheets/d/1MeEWN-I1oV_STSDYn1IFDPWt_1FKiwhDph83XaGc0o0/edit?usp=sharing"",""งบพรบ!CR84"")"),0)</f>
        <v>0</v>
      </c>
      <c r="M189" s="45">
        <f ca="1">IFERROR(__xludf.DUMMYFUNCTION("IMPORTRANGE(""https://docs.google.com/spreadsheets/d/1MeEWN-I1oV_STSDYn1IFDPWt_1FKiwhDph83XaGc0o0/edit?usp=sharing"",""งบพรบ!CU84"")"),0)</f>
        <v>0</v>
      </c>
      <c r="N189" s="45">
        <f ca="1">IFERROR(__xludf.DUMMYFUNCTION("IMPORTRANGE(""https://docs.google.com/spreadsheets/d/1MeEWN-I1oV_STSDYn1IFDPWt_1FKiwhDph83XaGc0o0/edit?usp=sharing"",""งบพรบ!CW84"")"),0)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IFERROR(__xludf.DUMMYFUNCTION("IMPORTRANGE(""https://docs.google.com/spreadsheets/d/1QqKyyYR6Q21VydFLVH3TRQUabQu_ym0Zz7PgGX0-kHA/edit?usp=sharing"",""แผน!Z84"")"),6000)</f>
        <v>6000</v>
      </c>
      <c r="M191" s="154"/>
      <c r="N191" s="264">
        <v>4410</v>
      </c>
      <c r="O191" s="154">
        <f ca="1">IF(L191&gt;0,N191*100/L191,0)</f>
        <v>73.5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IFERROR(__xludf.DUMMYFUNCTION("IMPORTRANGE(""https://docs.google.com/spreadsheets/d/1QqKyyYR6Q21VydFLVH3TRQUabQu_ym0Zz7PgGX0-kHA/edit?usp=sharing"",""แผน!AC84"")"),4)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176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176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1</v>
      </c>
      <c r="J197" s="260">
        <f t="shared" si="99"/>
        <v>1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IFERROR(__xludf.DUMMYFUNCTION("IMPORTRANGE(""https://docs.google.com/spreadsheets/d/1QqKyyYR6Q21VydFLVH3TRQUabQu_ym0Zz7PgGX0-kHA/edit?usp=sharing"",""แผน!AE84"")"),1000)</f>
        <v>1000</v>
      </c>
      <c r="M199" s="38"/>
      <c r="N199" s="270">
        <v>1000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IFERROR(__xludf.DUMMYFUNCTION("IMPORTRANGE(""https://docs.google.com/spreadsheets/d/1QqKyyYR6Q21VydFLVH3TRQUabQu_ym0Zz7PgGX0-kHA/edit?usp=sharing"",""แผน!AF84"")"),8000)</f>
        <v>8000</v>
      </c>
      <c r="M200" s="38"/>
      <c r="N200" s="270">
        <v>8000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IFERROR(__xludf.DUMMYFUNCTION("IMPORTRANGE(""https://docs.google.com/spreadsheets/d/1QqKyyYR6Q21VydFLVH3TRQUabQu_ym0Zz7PgGX0-kHA/edit?usp=sharing"",""แผน!AG84"")"),4000)</f>
        <v>4000</v>
      </c>
      <c r="M201" s="38"/>
      <c r="N201" s="270">
        <v>4000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IFERROR(__xludf.DUMMYFUNCTION("IMPORTRANGE(""https://docs.google.com/spreadsheets/d/1QqKyyYR6Q21VydFLVH3TRQUabQu_ym0Zz7PgGX0-kHA/edit?usp=sharing"",""แผน!AH84"")"),0)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IFERROR(__xludf.DUMMYFUNCTION("IMPORTRANGE(""https://docs.google.com/spreadsheets/d/1QqKyyYR6Q21VydFLVH3TRQUabQu_ym0Zz7PgGX0-kHA/edit?usp=sharing"",""แผน!AI84"")"),1)</f>
        <v>1</v>
      </c>
      <c r="J204" s="181">
        <v>1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1</v>
      </c>
      <c r="J206" s="181">
        <v>1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IFERROR(__xludf.DUMMYFUNCTION("IMPORTRANGE(""https://docs.google.com/spreadsheets/d/1QqKyyYR6Q21VydFLVH3TRQUabQu_ym0Zz7PgGX0-kHA/edit?usp=sharing"",""แผน!AK84"")"),0)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IFERROR(__xludf.DUMMYFUNCTION("IMPORTRANGE(""https://docs.google.com/spreadsheets/d/1QqKyyYR6Q21VydFLVH3TRQUabQu_ym0Zz7PgGX0-kHA/edit?usp=sharing"",""แผน!AL84"")"),0)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IFERROR(__xludf.DUMMYFUNCTION("IMPORTRANGE(""https://docs.google.com/spreadsheets/d/1QqKyyYR6Q21VydFLVH3TRQUabQu_ym0Zz7PgGX0-kHA/edit?usp=sharing"",""แผน!AM84"")"),0)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IFERROR(__xludf.DUMMYFUNCTION("IMPORTRANGE(""https://docs.google.com/spreadsheets/d/1QqKyyYR6Q21VydFLVH3TRQUabQu_ym0Zz7PgGX0-kHA/edit?usp=sharing"",""แผน!AN84"")"),0)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IFERROR(__xludf.DUMMYFUNCTION("IMPORTRANGE(""https://docs.google.com/spreadsheets/d/1QqKyyYR6Q21VydFLVH3TRQUabQu_ym0Zz7PgGX0-kHA/edit?usp=sharing"",""แผน!AN84"")"),0)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12000</v>
      </c>
      <c r="J216" s="260">
        <f t="shared" si="103"/>
        <v>12000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6800</v>
      </c>
      <c r="M217" s="154"/>
      <c r="N217" s="154">
        <f>N218+N219+N220</f>
        <v>6080</v>
      </c>
      <c r="O217" s="154">
        <f ca="1">IF(L217&gt;0,N217*100/L217,0)</f>
        <v>89.411764705882348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IFERROR(__xludf.DUMMYFUNCTION("IMPORTRANGE(""https://docs.google.com/spreadsheets/d/1QqKyyYR6Q21VydFLVH3TRQUabQu_ym0Zz7PgGX0-kHA/edit?usp=sharing"",""แผน!AP84"")"),3000)</f>
        <v>3000</v>
      </c>
      <c r="M218" s="38"/>
      <c r="N218" s="270">
        <v>2280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IFERROR(__xludf.DUMMYFUNCTION("IMPORTRANGE(""https://docs.google.com/spreadsheets/d/1QqKyyYR6Q21VydFLVH3TRQUabQu_ym0Zz7PgGX0-kHA/edit?usp=sharing"",""แผน!AQ84"")"),3800)</f>
        <v>3800</v>
      </c>
      <c r="M219" s="38"/>
      <c r="N219" s="270">
        <v>3800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IFERROR(__xludf.DUMMYFUNCTION("IMPORTRANGE(""https://docs.google.com/spreadsheets/d/1QqKyyYR6Q21VydFLVH3TRQUabQu_ym0Zz7PgGX0-kHA/edit?usp=sharing"",""แผน!AR84"")"),0)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IFERROR(__xludf.DUMMYFUNCTION("IMPORTRANGE(""https://docs.google.com/spreadsheets/d/1QqKyyYR6Q21VydFLVH3TRQUabQu_ym0Zz7PgGX0-kHA/edit?usp=sharing"",""แผน!AT84"")"),12000)</f>
        <v>12000</v>
      </c>
      <c r="J223" s="181">
        <v>12000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IFERROR(__xludf.DUMMYFUNCTION("IMPORTRANGE(""https://docs.google.com/spreadsheets/d/1QqKyyYR6Q21VydFLVH3TRQUabQu_ym0Zz7PgGX0-kHA/edit?usp=sharing"",""แผน!AT84"")"),12000)</f>
        <v>12000</v>
      </c>
      <c r="J224" s="181">
        <v>12000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IFERROR(__xludf.DUMMYFUNCTION("IMPORTRANGE(""https://docs.google.com/spreadsheets/d/1QqKyyYR6Q21VydFLVH3TRQUabQu_ym0Zz7PgGX0-kHA/edit?usp=sharing"",""แผน!AS84"")"),0)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IFERROR(__xludf.DUMMYFUNCTION("IMPORTRANGE(""https://docs.google.com/spreadsheets/d/1QqKyyYR6Q21VydFLVH3TRQUabQu_ym0Zz7PgGX0-kHA/edit?usp=sharing"",""แผน!AV84"")"),0)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IFERROR(__xludf.DUMMYFUNCTION("IMPORTRANGE(""https://docs.google.com/spreadsheets/d/1QqKyyYR6Q21VydFLVH3TRQUabQu_ym0Zz7PgGX0-kHA/edit?usp=sharing"",""แผน!AW84"")"),0)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IFERROR(__xludf.DUMMYFUNCTION("IMPORTRANGE(""https://docs.google.com/spreadsheets/d/1QqKyyYR6Q21VydFLVH3TRQUabQu_ym0Zz7PgGX0-kHA/edit?usp=sharing"",""แผน!AX84"")"),0)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IFERROR(__xludf.DUMMYFUNCTION("IMPORTRANGE(""https://docs.google.com/spreadsheets/d/1QqKyyYR6Q21VydFLVH3TRQUabQu_ym0Zz7PgGX0-kHA/edit?usp=sharing"",""แผน!AY84"")"),0)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IFERROR(__xludf.DUMMYFUNCTION("IMPORTRANGE(""https://docs.google.com/spreadsheets/d/1QqKyyYR6Q21VydFLVH3TRQUabQu_ym0Zz7PgGX0-kHA/edit?usp=sharing"",""แผน!BE84"")"),0)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IFERROR(__xludf.DUMMYFUNCTION("IMPORTRANGE(""https://docs.google.com/spreadsheets/d/1QqKyyYR6Q21VydFLVH3TRQUabQu_ym0Zz7PgGX0-kHA/edit?usp=sharing"",""แผน!AZ84"")"),0)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IFERROR(__xludf.DUMMYFUNCTION("IMPORTRANGE(""https://docs.google.com/spreadsheets/d/1QqKyyYR6Q21VydFLVH3TRQUabQu_ym0Zz7PgGX0-kHA/edit?usp=sharing"",""แผน!BA84"")"),0)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IFERROR(__xludf.DUMMYFUNCTION("IMPORTRANGE(""https://docs.google.com/spreadsheets/d/1QqKyyYR6Q21VydFLVH3TRQUabQu_ym0Zz7PgGX0-kHA/edit?usp=sharing"",""แผน!BB84"")"),0)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IFERROR(__xludf.DUMMYFUNCTION("IMPORTRANGE(""https://docs.google.com/spreadsheets/d/1QqKyyYR6Q21VydFLVH3TRQUabQu_ym0Zz7PgGX0-kHA/edit?usp=sharing"",""แผน!BC84"")"),0)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IFERROR(__xludf.DUMMYFUNCTION("IMPORTRANGE(""https://docs.google.com/spreadsheets/d/1QqKyyYR6Q21VydFLVH3TRQUabQu_ym0Zz7PgGX0-kHA/edit?usp=sharing"",""แผน!BF84"")"),0)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16</v>
      </c>
      <c r="J260" s="242">
        <f t="shared" si="115"/>
        <v>16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164200</v>
      </c>
      <c r="M261" s="154">
        <f t="shared" ca="1" si="116"/>
        <v>164200</v>
      </c>
      <c r="N261" s="154">
        <f t="shared" ca="1" si="116"/>
        <v>119311.81</v>
      </c>
      <c r="O261" s="154">
        <f t="shared" ref="O261:O269" ca="1" si="117">IF(L261&gt;0,N261*100/L261,0)</f>
        <v>72.662490864799025</v>
      </c>
      <c r="P261" s="154">
        <f t="shared" ref="P261:P269" ca="1" si="118">IF(M261&gt;0,N261*100/M261,0)</f>
        <v>72.662490864799025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164200</v>
      </c>
      <c r="M263" s="45">
        <f t="shared" ca="1" si="119"/>
        <v>164200</v>
      </c>
      <c r="N263" s="45">
        <f t="shared" ca="1" si="119"/>
        <v>119311.81</v>
      </c>
      <c r="O263" s="45">
        <f t="shared" ca="1" si="117"/>
        <v>72.662490864799025</v>
      </c>
      <c r="P263" s="45">
        <f t="shared" ca="1" si="118"/>
        <v>72.662490864799025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164200</v>
      </c>
      <c r="M264" s="38">
        <f t="shared" ca="1" si="120"/>
        <v>164200</v>
      </c>
      <c r="N264" s="38">
        <f t="shared" ca="1" si="120"/>
        <v>119311.81</v>
      </c>
      <c r="O264" s="38">
        <f t="shared" ca="1" si="117"/>
        <v>72.662490864799025</v>
      </c>
      <c r="P264" s="38">
        <f t="shared" ca="1" si="118"/>
        <v>72.662490864799025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IFERROR(__xludf.DUMMYFUNCTION("IMPORTRANGE(""https://docs.google.com/spreadsheets/d/1MeEWN-I1oV_STSDYn1IFDPWt_1FKiwhDph83XaGc0o0/edit?usp=sharing"",""งบพรบ!CY84"")"),164200)</f>
        <v>164200</v>
      </c>
      <c r="M266" s="45">
        <f ca="1">IFERROR(__xludf.DUMMYFUNCTION("IMPORTRANGE(""https://docs.google.com/spreadsheets/d/1MeEWN-I1oV_STSDYn1IFDPWt_1FKiwhDph83XaGc0o0/edit?usp=sharing"",""งบพรบ!DD84"")"),164200)</f>
        <v>164200</v>
      </c>
      <c r="N266" s="45">
        <f ca="1">IFERROR(__xludf.DUMMYFUNCTION("IMPORTRANGE(""https://docs.google.com/spreadsheets/d/1MeEWN-I1oV_STSDYn1IFDPWt_1FKiwhDph83XaGc0o0/edit?usp=sharing"",""งบพรบ!DF84"")"),119311.81)</f>
        <v>119311.81</v>
      </c>
      <c r="O266" s="45">
        <f t="shared" ca="1" si="117"/>
        <v>72.662490864799025</v>
      </c>
      <c r="P266" s="45">
        <f t="shared" ca="1" si="118"/>
        <v>72.662490864799025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IFERROR(__xludf.DUMMYFUNCTION("IMPORTRANGE(""https://docs.google.com/spreadsheets/d/1MeEWN-I1oV_STSDYn1IFDPWt_1FKiwhDph83XaGc0o0/edit?usp=sharing"",""งบพรบ!DB84"")"),0)</f>
        <v>0</v>
      </c>
      <c r="M269" s="45">
        <f ca="1">IFERROR(__xludf.DUMMYFUNCTION("IMPORTRANGE(""https://docs.google.com/spreadsheets/d/1MeEWN-I1oV_STSDYn1IFDPWt_1FKiwhDph83XaGc0o0/edit?usp=sharing"",""งบพรบ!DE84"")"),0)</f>
        <v>0</v>
      </c>
      <c r="N269" s="45">
        <f ca="1">IFERROR(__xludf.DUMMYFUNCTION("IMPORTRANGE(""https://docs.google.com/spreadsheets/d/1MeEWN-I1oV_STSDYn1IFDPWt_1FKiwhDph83XaGc0o0/edit?usp=sharing"",""งบพรบ!DG84"")"),0)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IFERROR(__xludf.DUMMYFUNCTION("IMPORTRANGE(""https://docs.google.com/spreadsheets/d/1QqKyyYR6Q21VydFLVH3TRQUabQu_ym0Zz7PgGX0-kHA/edit?usp=sharing"",""แผน!EA84"")"),16)</f>
        <v>16</v>
      </c>
      <c r="J271" s="181">
        <v>16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4">I287</f>
        <v>0</v>
      </c>
      <c r="J276" s="39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IFERROR(__xludf.DUMMYFUNCTION("IMPORTRANGE(""https://docs.google.com/spreadsheets/d/1MeEWN-I1oV_STSDYn1IFDPWt_1FKiwhDph83XaGc0o0/edit?usp=sharing"",""งบพรบ!DI84"")"),0)</f>
        <v>0</v>
      </c>
      <c r="M282" s="45">
        <f ca="1">IFERROR(__xludf.DUMMYFUNCTION("IMPORTRANGE(""https://docs.google.com/spreadsheets/d/1MeEWN-I1oV_STSDYn1IFDPWt_1FKiwhDph83XaGc0o0/edit?usp=sharing"",""งบพรบ!DN84"")"),0)</f>
        <v>0</v>
      </c>
      <c r="N282" s="45">
        <f ca="1">IFERROR(__xludf.DUMMYFUNCTION("IMPORTRANGE(""https://docs.google.com/spreadsheets/d/1MeEWN-I1oV_STSDYn1IFDPWt_1FKiwhDph83XaGc0o0/edit?usp=sharing"",""งบพรบ!DP84"")"),0)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IFERROR(__xludf.DUMMYFUNCTION("IMPORTRANGE(""https://docs.google.com/spreadsheets/d/1MeEWN-I1oV_STSDYn1IFDPWt_1FKiwhDph83XaGc0o0/edit?usp=sharing"",""งบพรบ!DL84"")"),0)</f>
        <v>0</v>
      </c>
      <c r="M285" s="45">
        <f ca="1">IFERROR(__xludf.DUMMYFUNCTION("IMPORTRANGE(""https://docs.google.com/spreadsheets/d/1MeEWN-I1oV_STSDYn1IFDPWt_1FKiwhDph83XaGc0o0/edit?usp=sharing"",""งบพรบ!DO84"")"),0)</f>
        <v>0</v>
      </c>
      <c r="N285" s="45">
        <f ca="1">IFERROR(__xludf.DUMMYFUNCTION("IMPORTRANGE(""https://docs.google.com/spreadsheets/d/1MeEWN-I1oV_STSDYn1IFDPWt_1FKiwhDph83XaGc0o0/edit?usp=sharing"",""งบพรบ!DQ84"")"),0)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IFERROR(__xludf.DUMMYFUNCTION("IMPORTRANGE(""https://docs.google.com/spreadsheets/d/1QqKyyYR6Q21VydFLVH3TRQUabQu_ym0Zz7PgGX0-kHA/edit?usp=sharing"",""แผน!EC84"")"),0)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IFERROR(__xludf.DUMMYFUNCTION("IMPORTRANGE(""https://docs.google.com/spreadsheets/d/1QqKyyYR6Q21VydFLVH3TRQUabQu_ym0Zz7PgGX0-kHA/edit?usp=sharing"",""แผน!EB84"")"),0)</f>
        <v>0</v>
      </c>
      <c r="J288" s="190">
        <f ca="1">IF(AND(J291&gt;=I288,J294&gt;=I288),J294,0)</f>
        <v>0</v>
      </c>
      <c r="K288" s="391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IFERROR(__xludf.DUMMYFUNCTION("IMPORTRANGE(""https://docs.google.com/spreadsheets/d/1QqKyyYR6Q21VydFLVH3TRQUabQu_ym0Zz7PgGX0-kHA/edit?usp=sharing"",""แผน!EB84"")"),0)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337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IFERROR(__xludf.DUMMYFUNCTION("IMPORTRANGE(""https://docs.google.com/spreadsheets/d/1QqKyyYR6Q21VydFLVH3TRQUabQu_ym0Zz7PgGX0-kHA/edit?usp=sharing"",""แผน!EB84"")"),0)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IFERROR(__xludf.DUMMYFUNCTION("IMPORTRANGE(""https://docs.google.com/spreadsheets/d/1QqKyyYR6Q21VydFLVH3TRQUabQu_ym0Zz7PgGX0-kHA/edit?usp=sharing"",""แผน!EB84"")"),0)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9" t="s">
        <v>337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IFERROR(__xludf.DUMMYFUNCTION("IMPORTRANGE(""https://docs.google.com/spreadsheets/d/1QqKyyYR6Q21VydFLVH3TRQUabQu_ym0Zz7PgGX0-kHA/edit?usp=sharing"",""แผน!EB84"")"),0)</f>
        <v>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IFERROR(__xludf.DUMMYFUNCTION("IMPORTRANGE(""https://docs.google.com/spreadsheets/d/1MeEWN-I1oV_STSDYn1IFDPWt_1FKiwhDph83XaGc0o0/edit?usp=sharing"",""งบพรบ!DS84"")"),0)</f>
        <v>0</v>
      </c>
      <c r="M303" s="45">
        <f ca="1">IFERROR(__xludf.DUMMYFUNCTION("IMPORTRANGE(""https://docs.google.com/spreadsheets/d/1MeEWN-I1oV_STSDYn1IFDPWt_1FKiwhDph83XaGc0o0/edit?usp=sharing"",""งบพรบ!DX84"")"),0)</f>
        <v>0</v>
      </c>
      <c r="N303" s="45">
        <f ca="1">IFERROR(__xludf.DUMMYFUNCTION("IMPORTRANGE(""https://docs.google.com/spreadsheets/d/1MeEWN-I1oV_STSDYn1IFDPWt_1FKiwhDph83XaGc0o0/edit?usp=sharing"",""งบพรบ!DZ84"")"),0)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IFERROR(__xludf.DUMMYFUNCTION("IMPORTRANGE(""https://docs.google.com/spreadsheets/d/1MeEWN-I1oV_STSDYn1IFDPWt_1FKiwhDph83XaGc0o0/edit?usp=sharing"",""งบพรบ!DV84"")"),0)</f>
        <v>0</v>
      </c>
      <c r="M306" s="45">
        <f ca="1">IFERROR(__xludf.DUMMYFUNCTION("IMPORTRANGE(""https://docs.google.com/spreadsheets/d/1MeEWN-I1oV_STSDYn1IFDPWt_1FKiwhDph83XaGc0o0/edit?usp=sharing"",""งบพรบ!DY84"")"),0)</f>
        <v>0</v>
      </c>
      <c r="N306" s="45">
        <f ca="1">IFERROR(__xludf.DUMMYFUNCTION("IMPORTRANGE(""https://docs.google.com/spreadsheets/d/1MeEWN-I1oV_STSDYn1IFDPWt_1FKiwhDph83XaGc0o0/edit?usp=sharing"",""งบพรบ!EA84"")"),0)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IFERROR(__xludf.DUMMYFUNCTION("IMPORTRANGE(""https://docs.google.com/spreadsheets/d/1QqKyyYR6Q21VydFLVH3TRQUabQu_ym0Zz7PgGX0-kHA/edit?usp=sharing"",""แผน!ED84"")"),0)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IFERROR(__xludf.DUMMYFUNCTION("IMPORTRANGE(""https://docs.google.com/spreadsheets/d/1QqKyyYR6Q21VydFLVH3TRQUabQu_ym0Zz7PgGX0-kHA/edit?usp=sharing"",""แผน!ED84"")"),0)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IFERROR(__xludf.DUMMYFUNCTION("IMPORTRANGE(""https://docs.google.com/spreadsheets/d/1QqKyyYR6Q21VydFLVH3TRQUabQu_ym0Zz7PgGX0-kHA/edit?usp=sharing"",""แผน!ED84"")"),0)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IFERROR(__xludf.DUMMYFUNCTION("IMPORTRANGE(""https://docs.google.com/spreadsheets/d/1QqKyyYR6Q21VydFLVH3TRQUabQu_ym0Zz7PgGX0-kHA/edit?usp=sharing"",""แผน!EE84"")"),0)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IFERROR(__xludf.DUMMYFUNCTION("IMPORTRANGE(""https://docs.google.com/spreadsheets/d/1MeEWN-I1oV_STSDYn1IFDPWt_1FKiwhDph83XaGc0o0/edit?usp=sharing"",""งบพรบ!EC84"")"),0)</f>
        <v>0</v>
      </c>
      <c r="M320" s="45">
        <f ca="1">IFERROR(__xludf.DUMMYFUNCTION("IMPORTRANGE(""https://docs.google.com/spreadsheets/d/1MeEWN-I1oV_STSDYn1IFDPWt_1FKiwhDph83XaGc0o0/edit?usp=sharing"",""งบพรบ!EH84"")"),0)</f>
        <v>0</v>
      </c>
      <c r="N320" s="45">
        <f ca="1">IFERROR(__xludf.DUMMYFUNCTION("IMPORTRANGE(""https://docs.google.com/spreadsheets/d/1MeEWN-I1oV_STSDYn1IFDPWt_1FKiwhDph83XaGc0o0/edit?usp=sharing"",""งบพรบ!EJ84"")"),0)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IFERROR(__xludf.DUMMYFUNCTION("IMPORTRANGE(""https://docs.google.com/spreadsheets/d/1MeEWN-I1oV_STSDYn1IFDPWt_1FKiwhDph83XaGc0o0/edit?usp=sharing"",""งบพรบ!EF84"")"),0)</f>
        <v>0</v>
      </c>
      <c r="M323" s="45">
        <f ca="1">IFERROR(__xludf.DUMMYFUNCTION("IMPORTRANGE(""https://docs.google.com/spreadsheets/d/1MeEWN-I1oV_STSDYn1IFDPWt_1FKiwhDph83XaGc0o0/edit?usp=sharing"",""งบพรบ!EI84"")"),0)</f>
        <v>0</v>
      </c>
      <c r="N323" s="45">
        <f ca="1">IFERROR(__xludf.DUMMYFUNCTION("IMPORTRANGE(""https://docs.google.com/spreadsheets/d/1MeEWN-I1oV_STSDYn1IFDPWt_1FKiwhDph83XaGc0o0/edit?usp=sharing"",""งบพรบ!EK84"")"),0)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IFERROR(__xludf.DUMMYFUNCTION("IMPORTRANGE(""https://docs.google.com/spreadsheets/d/1QqKyyYR6Q21VydFLVH3TRQUabQu_ym0Zz7PgGX0-kHA/edit?usp=sharing"",""แผน!EF84"")"),0)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IFERROR(__xludf.DUMMYFUNCTION("IMPORTRANGE(""https://docs.google.com/spreadsheets/d/1QqKyyYR6Q21VydFLVH3TRQUabQu_ym0Zz7PgGX0-kHA/edit?usp=sharing"",""แผน!EG84"")"),200)</f>
        <v>200</v>
      </c>
      <c r="J327" s="421">
        <f ca="1">J338+J341+J342+J343</f>
        <v>416</v>
      </c>
      <c r="K327" s="422">
        <f ca="1">IF(I327&gt;0,J327*100/I327,0)</f>
        <v>208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157000</v>
      </c>
      <c r="M328" s="154">
        <f t="shared" ca="1" si="149"/>
        <v>159500</v>
      </c>
      <c r="N328" s="154">
        <f t="shared" ca="1" si="149"/>
        <v>104783.33</v>
      </c>
      <c r="O328" s="154">
        <f t="shared" ref="O328:O336" ca="1" si="150">IF(L328&gt;0,N328*100/L328,0)</f>
        <v>66.740974522292987</v>
      </c>
      <c r="P328" s="154">
        <f t="shared" ref="P328:P336" ca="1" si="151">IF(M328&gt;0,N328*100/M328,0)</f>
        <v>65.694877742946701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157000</v>
      </c>
      <c r="M330" s="45">
        <f t="shared" ca="1" si="152"/>
        <v>159500</v>
      </c>
      <c r="N330" s="45">
        <f t="shared" ca="1" si="152"/>
        <v>104783.33</v>
      </c>
      <c r="O330" s="45">
        <f t="shared" ca="1" si="150"/>
        <v>66.740974522292987</v>
      </c>
      <c r="P330" s="45">
        <f t="shared" ca="1" si="151"/>
        <v>65.694877742946701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157000</v>
      </c>
      <c r="M331" s="38">
        <f t="shared" ca="1" si="153"/>
        <v>159500</v>
      </c>
      <c r="N331" s="38">
        <f t="shared" ca="1" si="153"/>
        <v>104783.33</v>
      </c>
      <c r="O331" s="38">
        <f t="shared" ca="1" si="150"/>
        <v>66.740974522292987</v>
      </c>
      <c r="P331" s="38">
        <f t="shared" ca="1" si="151"/>
        <v>65.694877742946701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IFERROR(__xludf.DUMMYFUNCTION("IMPORTRANGE(""https://docs.google.com/spreadsheets/d/1MeEWN-I1oV_STSDYn1IFDPWt_1FKiwhDph83XaGc0o0/edit?usp=sharing"",""งบพรบ!EM84"")"),157000)</f>
        <v>157000</v>
      </c>
      <c r="M333" s="45">
        <f ca="1">IFERROR(__xludf.DUMMYFUNCTION("IMPORTRANGE(""https://docs.google.com/spreadsheets/d/1MeEWN-I1oV_STSDYn1IFDPWt_1FKiwhDph83XaGc0o0/edit?usp=sharing"",""งบพรบ!ER84"")"),159500)</f>
        <v>159500</v>
      </c>
      <c r="N333" s="45">
        <f ca="1">IFERROR(__xludf.DUMMYFUNCTION("IMPORTRANGE(""https://docs.google.com/spreadsheets/d/1MeEWN-I1oV_STSDYn1IFDPWt_1FKiwhDph83XaGc0o0/edit?usp=sharing"",""งบพรบ!ET84"")"),104783.33)</f>
        <v>104783.33</v>
      </c>
      <c r="O333" s="45">
        <f t="shared" ca="1" si="150"/>
        <v>66.740974522292987</v>
      </c>
      <c r="P333" s="45">
        <f t="shared" ca="1" si="151"/>
        <v>65.694877742946701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IFERROR(__xludf.DUMMYFUNCTION("IMPORTRANGE(""https://docs.google.com/spreadsheets/d/1MeEWN-I1oV_STSDYn1IFDPWt_1FKiwhDph83XaGc0o0/edit?usp=sharing"",""งบพรบ!EP84"")"),0)</f>
        <v>0</v>
      </c>
      <c r="M336" s="45">
        <f ca="1">IFERROR(__xludf.DUMMYFUNCTION("IMPORTRANGE(""https://docs.google.com/spreadsheets/d/1MeEWN-I1oV_STSDYn1IFDPWt_1FKiwhDph83XaGc0o0/edit?usp=sharing"",""งบพรบ!ES84"")"),0)</f>
        <v>0</v>
      </c>
      <c r="N336" s="45">
        <f ca="1">IFERROR(__xludf.DUMMYFUNCTION("IMPORTRANGE(""https://docs.google.com/spreadsheets/d/1MeEWN-I1oV_STSDYn1IFDPWt_1FKiwhDph83XaGc0o0/edit?usp=sharing"",""งบพรบ!EU84"")"),0)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IFERROR(__xludf.DUMMYFUNCTION("IMPORTRANGE(""https://docs.google.com/spreadsheets/d/1QqKyyYR6Q21VydFLVH3TRQUabQu_ym0Zz7PgGX0-kHA/edit?usp=sharing"",""แผน!EG84"")"),200)</f>
        <v>200</v>
      </c>
      <c r="J338" s="37">
        <f ca="1">IFERROR(__xludf.DUMMYFUNCTION("IMPORTRANGE(""https://docs.google.com/spreadsheets/d/1kVcqe37tkHyjCSG3S0O1AXqVkqjo8mSIZil3BcpIysc/edit?usp=sharing"",""ศูนย์!D84"")"),325)</f>
        <v>325</v>
      </c>
      <c r="K338" s="38">
        <f ca="1">IF(I338&gt;0,J338*100/I338,0)</f>
        <v>162.5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IFERROR(__xludf.DUMMYFUNCTION("IMPORTRANGE(""https://docs.google.com/spreadsheets/d/1QqKyyYR6Q21VydFLVH3TRQUabQu_ym0Zz7PgGX0-kHA/edit?usp=sharing"",""แผน!EH84"")"),2)</f>
        <v>2</v>
      </c>
      <c r="J340" s="37">
        <f ca="1">IFERROR(__xludf.DUMMYFUNCTION("IMPORTRANGE(""https://docs.google.com/spreadsheets/d/1kVcqe37tkHyjCSG3S0O1AXqVkqjo8mSIZil3BcpIysc/edit?usp=sharing"",""ศูนย์!E84"")"),2)</f>
        <v>2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IFERROR(__xludf.DUMMYFUNCTION("IMPORTRANGE(""https://docs.google.com/spreadsheets/d/1kVcqe37tkHyjCSG3S0O1AXqVkqjo8mSIZil3BcpIysc/edit?usp=sharing"",""ศูนย์!F84"")"),91)</f>
        <v>91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IFERROR(__xludf.DUMMYFUNCTION("IMPORTRANGE(""https://docs.google.com/spreadsheets/d/1kVcqe37tkHyjCSG3S0O1AXqVkqjo8mSIZil3BcpIysc/edit?usp=sharing"",""ศูนย์!G84"")"),0)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IFERROR(__xludf.DUMMYFUNCTION("IMPORTRANGE(""https://docs.google.com/spreadsheets/d/1kVcqe37tkHyjCSG3S0O1AXqVkqjo8mSIZil3BcpIysc/edit?usp=sharing"",""ศูนย์!H84"")"),0)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672850</v>
      </c>
      <c r="M345" s="154">
        <f t="shared" ca="1" si="155"/>
        <v>727850</v>
      </c>
      <c r="N345" s="154">
        <f t="shared" ca="1" si="155"/>
        <v>555573.9</v>
      </c>
      <c r="O345" s="154">
        <f t="shared" ref="O345:O353" ca="1" si="156">IF(L345&gt;0,N345*100/L345,0)</f>
        <v>82.570245968640862</v>
      </c>
      <c r="P345" s="154">
        <f t="shared" ref="P345:P353" ca="1" si="157">IF(M345&gt;0,N345*100/M345,0)</f>
        <v>76.330823658720888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672850</v>
      </c>
      <c r="M347" s="45">
        <f t="shared" ca="1" si="158"/>
        <v>727850</v>
      </c>
      <c r="N347" s="45">
        <f t="shared" ca="1" si="158"/>
        <v>555573.9</v>
      </c>
      <c r="O347" s="45">
        <f t="shared" ca="1" si="156"/>
        <v>82.570245968640862</v>
      </c>
      <c r="P347" s="45">
        <f t="shared" ca="1" si="157"/>
        <v>76.330823658720888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559050</v>
      </c>
      <c r="M348" s="38">
        <f t="shared" ca="1" si="159"/>
        <v>614050</v>
      </c>
      <c r="N348" s="38">
        <f t="shared" ca="1" si="159"/>
        <v>441773.9</v>
      </c>
      <c r="O348" s="38">
        <f t="shared" ca="1" si="156"/>
        <v>79.022252034701722</v>
      </c>
      <c r="P348" s="38">
        <f t="shared" ca="1" si="157"/>
        <v>71.944287924436125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IFERROR(__xludf.DUMMYFUNCTION("IMPORTRANGE(""https://docs.google.com/spreadsheets/d/1MeEWN-I1oV_STSDYn1IFDPWt_1FKiwhDph83XaGc0o0/edit?usp=sharing"",""งบพรบ!EW84"")"),559050)</f>
        <v>559050</v>
      </c>
      <c r="M350" s="45">
        <f ca="1">IFERROR(__xludf.DUMMYFUNCTION("IMPORTRANGE(""https://docs.google.com/spreadsheets/d/1MeEWN-I1oV_STSDYn1IFDPWt_1FKiwhDph83XaGc0o0/edit?usp=sharing"",""งบพรบ!FB84"")"),614050)</f>
        <v>614050</v>
      </c>
      <c r="N350" s="45">
        <f ca="1">IFERROR(__xludf.DUMMYFUNCTION("IMPORTRANGE(""https://docs.google.com/spreadsheets/d/1MeEWN-I1oV_STSDYn1IFDPWt_1FKiwhDph83XaGc0o0/edit?usp=sharing"",""งบพรบ!FD84"")"),441773.9)</f>
        <v>441773.9</v>
      </c>
      <c r="O350" s="45">
        <f t="shared" ca="1" si="156"/>
        <v>79.022252034701722</v>
      </c>
      <c r="P350" s="45">
        <f t="shared" ca="1" si="157"/>
        <v>71.944287924436125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113800</v>
      </c>
      <c r="M351" s="38">
        <f t="shared" ca="1" si="160"/>
        <v>113800</v>
      </c>
      <c r="N351" s="38">
        <f t="shared" ca="1" si="160"/>
        <v>113800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IFERROR(__xludf.DUMMYFUNCTION("IMPORTRANGE(""https://docs.google.com/spreadsheets/d/1MeEWN-I1oV_STSDYn1IFDPWt_1FKiwhDph83XaGc0o0/edit?usp=sharing"",""งบพรบ!EZ84"")"),113800)</f>
        <v>113800</v>
      </c>
      <c r="M353" s="45">
        <f ca="1">IFERROR(__xludf.DUMMYFUNCTION("IMPORTRANGE(""https://docs.google.com/spreadsheets/d/1MeEWN-I1oV_STSDYn1IFDPWt_1FKiwhDph83XaGc0o0/edit?usp=sharing"",""งบพรบ!FC84"")"),113800)</f>
        <v>113800</v>
      </c>
      <c r="N353" s="45">
        <f ca="1">IFERROR(__xludf.DUMMYFUNCTION("IMPORTRANGE(""https://docs.google.com/spreadsheets/d/1MeEWN-I1oV_STSDYn1IFDPWt_1FKiwhDph83XaGc0o0/edit?usp=sharing"",""งบพรบ!FE84"")"),113800)</f>
        <v>113800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IFERROR(__xludf.DUMMYFUNCTION("IMPORTRANGE(""https://docs.google.com/spreadsheets/d/1QqKyyYR6Q21VydFLVH3TRQUabQu_ym0Zz7PgGX0-kHA/edit?usp=sharing"",""แผน!EP84"")"),54)</f>
        <v>54</v>
      </c>
      <c r="J355" s="438">
        <f ca="1">J362</f>
        <v>55</v>
      </c>
      <c r="K355" s="439">
        <f ca="1">IF(I355&gt;0,J355*100/I355,0)</f>
        <v>101.85185185185185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IFERROR(__xludf.DUMMYFUNCTION("IMPORTRANGE(""https://docs.google.com/spreadsheets/d/1XWAQStnk-4SwqDmLtmXYiTMKHgktTP8We1SCoS47DrQ/edit?usp=sharing"",""จัดที่ดิน!W84"")"),99)</f>
        <v>99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IFERROR(__xludf.DUMMYFUNCTION("IMPORTRANGE(""https://docs.google.com/spreadsheets/d/1QqKyyYR6Q21VydFLVH3TRQUabQu_ym0Zz7PgGX0-kHA/edit?usp=sharing"",""แผน!EO84"")"),440)</f>
        <v>440</v>
      </c>
      <c r="J359" s="37">
        <f ca="1">IFERROR(__xludf.DUMMYFUNCTION("IMPORTRANGE(""https://docs.google.com/spreadsheets/d/1XWAQStnk-4SwqDmLtmXYiTMKHgktTP8We1SCoS47DrQ/edit?usp=sharing"",""จัดที่ดิน!X84"")"),592.6)</f>
        <v>592.6</v>
      </c>
      <c r="K359" s="38">
        <f t="shared" ca="1" si="161"/>
        <v>134.68181818181819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IFERROR(__xludf.DUMMYFUNCTION("IMPORTRANGE(""https://docs.google.com/spreadsheets/d/1QqKyyYR6Q21VydFLVH3TRQUabQu_ym0Zz7PgGX0-kHA/edit?usp=sharing"",""แผน!EP84"")"),54)</f>
        <v>54</v>
      </c>
      <c r="J360" s="37">
        <f ca="1">IFERROR(__xludf.DUMMYFUNCTION("IMPORTRANGE(""https://docs.google.com/spreadsheets/d/1XWAQStnk-4SwqDmLtmXYiTMKHgktTP8We1SCoS47DrQ/edit?usp=sharing"",""จัดที่ดิน!Y84"")"),98)</f>
        <v>98</v>
      </c>
      <c r="K360" s="38">
        <f t="shared" ca="1" si="161"/>
        <v>181.4814814814815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IFERROR(__xludf.DUMMYFUNCTION("IMPORTRANGE(""https://docs.google.com/spreadsheets/d/1XWAQStnk-4SwqDmLtmXYiTMKHgktTP8We1SCoS47DrQ/edit?usp=sharing"",""จัดที่ดิน!Z84"")"),587.92)</f>
        <v>587.91999999999996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IFERROR(__xludf.DUMMYFUNCTION("IMPORTRANGE(""https://docs.google.com/spreadsheets/d/1QqKyyYR6Q21VydFLVH3TRQUabQu_ym0Zz7PgGX0-kHA/edit?usp=sharing"",""แผน!EP84"")"),54)</f>
        <v>54</v>
      </c>
      <c r="J362" s="37">
        <f ca="1">IFERROR(__xludf.DUMMYFUNCTION("IMPORTRANGE(""https://docs.google.com/spreadsheets/d/1XWAQStnk-4SwqDmLtmXYiTMKHgktTP8We1SCoS47DrQ/edit?usp=sharing"",""จัดที่ดิน!AA84"")"),55)</f>
        <v>55</v>
      </c>
      <c r="K362" s="38">
        <f t="shared" ca="1" si="161"/>
        <v>101.85185185185185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IFERROR(__xludf.DUMMYFUNCTION("IMPORTRANGE(""https://docs.google.com/spreadsheets/d/1XWAQStnk-4SwqDmLtmXYiTMKHgktTP8We1SCoS47DrQ/edit?usp=sharing"",""จัดที่ดิน!AB84"")"),356.89)</f>
        <v>356.89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74</v>
      </c>
      <c r="J364" s="452">
        <f t="shared" ca="1" si="162"/>
        <v>89</v>
      </c>
      <c r="K364" s="453">
        <f t="shared" ca="1" si="161"/>
        <v>120.27027027027027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IFERROR(__xludf.DUMMYFUNCTION("IMPORTRANGE(""https://docs.google.com/spreadsheets/d/1QqKyyYR6Q21VydFLVH3TRQUabQu_ym0Zz7PgGX0-kHA/edit?usp=sharing"",""แผน!EJ84"")"),34)</f>
        <v>34</v>
      </c>
      <c r="J365" s="462">
        <f ca="1">J372</f>
        <v>38</v>
      </c>
      <c r="K365" s="463">
        <f t="shared" ca="1" si="161"/>
        <v>111.76470588235294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IFERROR(__xludf.DUMMYFUNCTION("IMPORTRANGE(""https://docs.google.com/spreadsheets/d/1XWAQStnk-4SwqDmLtmXYiTMKHgktTP8We1SCoS47DrQ/edit?usp=sharing"",""จัดที่ดิน!E84"")"),80)</f>
        <v>80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IFERROR(__xludf.DUMMYFUNCTION("IMPORTRANGE(""https://docs.google.com/spreadsheets/d/1QqKyyYR6Q21VydFLVH3TRQUabQu_ym0Zz7PgGX0-kHA/edit?usp=sharing"",""แผน!EI84"")"),340)</f>
        <v>340</v>
      </c>
      <c r="J369" s="37">
        <f ca="1">IFERROR(__xludf.DUMMYFUNCTION("IMPORTRANGE(""https://docs.google.com/spreadsheets/d/1XWAQStnk-4SwqDmLtmXYiTMKHgktTP8We1SCoS47DrQ/edit?usp=sharing"",""จัดที่ดิน!F84"")"),383.68)</f>
        <v>383.68</v>
      </c>
      <c r="K369" s="38">
        <f t="shared" ca="1" si="163"/>
        <v>112.84705882352941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IFERROR(__xludf.DUMMYFUNCTION("IMPORTRANGE(""https://docs.google.com/spreadsheets/d/1QqKyyYR6Q21VydFLVH3TRQUabQu_ym0Zz7PgGX0-kHA/edit?usp=sharing"",""แผน!EJ84"")"),34)</f>
        <v>34</v>
      </c>
      <c r="J370" s="37">
        <f ca="1">IFERROR(__xludf.DUMMYFUNCTION("IMPORTRANGE(""https://docs.google.com/spreadsheets/d/1XWAQStnk-4SwqDmLtmXYiTMKHgktTP8We1SCoS47DrQ/edit?usp=sharing"",""จัดที่ดิน!G84"")"),79)</f>
        <v>79</v>
      </c>
      <c r="K370" s="38">
        <f t="shared" ca="1" si="163"/>
        <v>232.35294117647058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IFERROR(__xludf.DUMMYFUNCTION("IMPORTRANGE(""https://docs.google.com/spreadsheets/d/1XWAQStnk-4SwqDmLtmXYiTMKHgktTP8We1SCoS47DrQ/edit?usp=sharing"",""จัดที่ดิน!H84"")"),379)</f>
        <v>379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IFERROR(__xludf.DUMMYFUNCTION("IMPORTRANGE(""https://docs.google.com/spreadsheets/d/1QqKyyYR6Q21VydFLVH3TRQUabQu_ym0Zz7PgGX0-kHA/edit?usp=sharing"",""แผน!EJ84"")"),34)</f>
        <v>34</v>
      </c>
      <c r="J372" s="37">
        <f ca="1">IFERROR(__xludf.DUMMYFUNCTION("IMPORTRANGE(""https://docs.google.com/spreadsheets/d/1XWAQStnk-4SwqDmLtmXYiTMKHgktTP8We1SCoS47DrQ/edit?usp=sharing"",""จัดที่ดิน!I84"")"),38)</f>
        <v>38</v>
      </c>
      <c r="K372" s="38">
        <f t="shared" ca="1" si="163"/>
        <v>111.76470588235294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IFERROR(__xludf.DUMMYFUNCTION("IMPORTRANGE(""https://docs.google.com/spreadsheets/d/1XWAQStnk-4SwqDmLtmXYiTMKHgktTP8We1SCoS47DrQ/edit?usp=sharing"",""จัดที่ดิน!J84"")"),210.78)</f>
        <v>210.78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IFERROR(__xludf.DUMMYFUNCTION("IMPORTRANGE(""https://docs.google.com/spreadsheets/d/1QqKyyYR6Q21VydFLVH3TRQUabQu_ym0Zz7PgGX0-kHA/edit?usp=sharing"",""แผน!EU84"")"),40)</f>
        <v>40</v>
      </c>
      <c r="J374" s="462">
        <f ca="1">J381</f>
        <v>51</v>
      </c>
      <c r="K374" s="463">
        <f t="shared" ca="1" si="163"/>
        <v>127.5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IFERROR(__xludf.DUMMYFUNCTION("IMPORTRANGE(""https://docs.google.com/spreadsheets/d/1XWAQStnk-4SwqDmLtmXYiTMKHgktTP8We1SCoS47DrQ/edit?usp=sharing"",""จัดที่ดิน!AH84"")"),19)</f>
        <v>19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IFERROR(__xludf.DUMMYFUNCTION("IMPORTRANGE(""https://docs.google.com/spreadsheets/d/1QqKyyYR6Q21VydFLVH3TRQUabQu_ym0Zz7PgGX0-kHA/edit?usp=sharing"",""แผน!ET84"")"),100)</f>
        <v>100</v>
      </c>
      <c r="J378" s="37">
        <f ca="1">IFERROR(__xludf.DUMMYFUNCTION("IMPORTRANGE(""https://docs.google.com/spreadsheets/d/1XWAQStnk-4SwqDmLtmXYiTMKHgktTP8We1SCoS47DrQ/edit?usp=sharing"",""จัดที่ดิน!AI84"")"),208.92)</f>
        <v>208.92</v>
      </c>
      <c r="K378" s="38">
        <f t="shared" ca="1" si="164"/>
        <v>208.92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IFERROR(__xludf.DUMMYFUNCTION("IMPORTRANGE(""https://docs.google.com/spreadsheets/d/1QqKyyYR6Q21VydFLVH3TRQUabQu_ym0Zz7PgGX0-kHA/edit?usp=sharing"",""แผน!EU84"")"),40)</f>
        <v>40</v>
      </c>
      <c r="J379" s="37">
        <f ca="1">IFERROR(__xludf.DUMMYFUNCTION("IMPORTRANGE(""https://docs.google.com/spreadsheets/d/1XWAQStnk-4SwqDmLtmXYiTMKHgktTP8We1SCoS47DrQ/edit?usp=sharing"",""จัดที่ดิน!AJ84"")"),52)</f>
        <v>52</v>
      </c>
      <c r="K379" s="38">
        <f t="shared" ca="1" si="164"/>
        <v>130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IFERROR(__xludf.DUMMYFUNCTION("IMPORTRANGE(""https://docs.google.com/spreadsheets/d/1XWAQStnk-4SwqDmLtmXYiTMKHgktTP8We1SCoS47DrQ/edit?usp=sharing"",""จัดที่ดิน!AK84"")"),441.58)</f>
        <v>441.58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IFERROR(__xludf.DUMMYFUNCTION("IMPORTRANGE(""https://docs.google.com/spreadsheets/d/1QqKyyYR6Q21VydFLVH3TRQUabQu_ym0Zz7PgGX0-kHA/edit?usp=sharing"",""แผน!EU84"")"),40)</f>
        <v>40</v>
      </c>
      <c r="J381" s="37">
        <f ca="1">IFERROR(__xludf.DUMMYFUNCTION("IMPORTRANGE(""https://docs.google.com/spreadsheets/d/1XWAQStnk-4SwqDmLtmXYiTMKHgktTP8We1SCoS47DrQ/edit?usp=sharing"",""จัดที่ดิน!AL84"")"),51)</f>
        <v>51</v>
      </c>
      <c r="K381" s="38">
        <f t="shared" ca="1" si="164"/>
        <v>127.5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IFERROR(__xludf.DUMMYFUNCTION("IMPORTRANGE(""https://docs.google.com/spreadsheets/d/1XWAQStnk-4SwqDmLtmXYiTMKHgktTP8We1SCoS47DrQ/edit?usp=sharing"",""จัดที่ดิน!AM84"")"),391.66)</f>
        <v>391.66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IFERROR(__xludf.DUMMYFUNCTION("IMPORTRANGE(""https://docs.google.com/spreadsheets/d/1QqKyyYR6Q21VydFLVH3TRQUabQu_ym0Zz7PgGX0-kHA/edit?usp=sharing"",""แผน!EW84"")"),10)</f>
        <v>10</v>
      </c>
      <c r="J385" s="365">
        <f ca="1">IFERROR(__xludf.DUMMYFUNCTION("IMPORTRANGE(""https://docs.google.com/spreadsheets/d/1XWAQStnk-4SwqDmLtmXYiTMKHgktTP8We1SCoS47DrQ/edit?usp=sharing"",""จัดที่ดิน!AP84"")"),3)</f>
        <v>3</v>
      </c>
      <c r="K385" s="475">
        <f ca="1">IF(I385&gt;0,J385*100/I385,0)</f>
        <v>30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IFERROR(__xludf.DUMMYFUNCTION("IMPORTRANGE(""https://docs.google.com/spreadsheets/d/1MeEWN-I1oV_STSDYn1IFDPWt_1FKiwhDph83XaGc0o0/edit?usp=sharing"",""งบพรบ!FG84"")"),0)</f>
        <v>0</v>
      </c>
      <c r="M394" s="45">
        <f ca="1">IFERROR(__xludf.DUMMYFUNCTION("IMPORTRANGE(""https://docs.google.com/spreadsheets/d/1MeEWN-I1oV_STSDYn1IFDPWt_1FKiwhDph83XaGc0o0/edit?usp=sharing"",""งบพรบ!FL84"")"),0)</f>
        <v>0</v>
      </c>
      <c r="N394" s="45">
        <f ca="1">IFERROR(__xludf.DUMMYFUNCTION("IMPORTRANGE(""https://docs.google.com/spreadsheets/d/1MeEWN-I1oV_STSDYn1IFDPWt_1FKiwhDph83XaGc0o0/edit?usp=sharing"",""งบพรบ!FN84"")"),0)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IFERROR(__xludf.DUMMYFUNCTION("IMPORTRANGE(""https://docs.google.com/spreadsheets/d/1MeEWN-I1oV_STSDYn1IFDPWt_1FKiwhDph83XaGc0o0/edit?usp=sharing"",""งบพรบ!FJ84"")"),0)</f>
        <v>0</v>
      </c>
      <c r="M397" s="45">
        <f ca="1">IFERROR(__xludf.DUMMYFUNCTION("IMPORTRANGE(""https://docs.google.com/spreadsheets/d/1MeEWN-I1oV_STSDYn1IFDPWt_1FKiwhDph83XaGc0o0/edit?usp=sharing"",""งบพรบ!FM84"")"),0)</f>
        <v>0</v>
      </c>
      <c r="N397" s="45">
        <f ca="1">IFERROR(__xludf.DUMMYFUNCTION("IMPORTRANGE(""https://docs.google.com/spreadsheets/d/1MeEWN-I1oV_STSDYn1IFDPWt_1FKiwhDph83XaGc0o0/edit?usp=sharing"",""งบพรบ!FO84"")"),0)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0</v>
      </c>
      <c r="J401" s="495">
        <f t="shared" si="173"/>
        <v>0</v>
      </c>
      <c r="K401" s="496">
        <f t="shared" si="172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IFERROR(__xludf.DUMMYFUNCTION("IMPORTRANGE(""https://docs.google.com/spreadsheets/d/1MeEWN-I1oV_STSDYn1IFDPWt_1FKiwhDph83XaGc0o0/edit?usp=sharing"",""งบพรบ!FQ84"")"),0)</f>
        <v>0</v>
      </c>
      <c r="M407" s="45">
        <f ca="1">IFERROR(__xludf.DUMMYFUNCTION("IMPORTRANGE(""https://docs.google.com/spreadsheets/d/1MeEWN-I1oV_STSDYn1IFDPWt_1FKiwhDph83XaGc0o0/edit?usp=sharing"",""งบพรบ!FV84"")"),0)</f>
        <v>0</v>
      </c>
      <c r="N407" s="45">
        <f ca="1">IFERROR(__xludf.DUMMYFUNCTION("IMPORTRANGE(""https://docs.google.com/spreadsheets/d/1MeEWN-I1oV_STSDYn1IFDPWt_1FKiwhDph83XaGc0o0/edit?usp=sharing"",""งบพรบ!FX84"")"),0)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IFERROR(__xludf.DUMMYFUNCTION("IMPORTRANGE(""https://docs.google.com/spreadsheets/d/1MeEWN-I1oV_STSDYn1IFDPWt_1FKiwhDph83XaGc0o0/edit?usp=sharing"",""งบพรบ!FT84"")"),0)</f>
        <v>0</v>
      </c>
      <c r="M410" s="45">
        <f ca="1">IFERROR(__xludf.DUMMYFUNCTION("IMPORTRANGE(""https://docs.google.com/spreadsheets/d/1MeEWN-I1oV_STSDYn1IFDPWt_1FKiwhDph83XaGc0o0/edit?usp=sharing"",""งบพรบ!FW84"")"),0)</f>
        <v>0</v>
      </c>
      <c r="N410" s="45">
        <f ca="1">IFERROR(__xludf.DUMMYFUNCTION("IMPORTRANGE(""https://docs.google.com/spreadsheets/d/1MeEWN-I1oV_STSDYn1IFDPWt_1FKiwhDph83XaGc0o0/edit?usp=sharing"",""งบพรบ!FY84"")"),0)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80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794275</v>
      </c>
      <c r="M414" s="521">
        <f t="shared" ca="1" si="181"/>
        <v>794275</v>
      </c>
      <c r="N414" s="521">
        <f t="shared" si="181"/>
        <v>517883.66000000003</v>
      </c>
      <c r="O414" s="521">
        <f ca="1">IF(L414&gt;0,N414*100/L414,0)</f>
        <v>65.202059740014477</v>
      </c>
      <c r="P414" s="521">
        <f ca="1">IF(M414&gt;0,N414*100/M414,0)</f>
        <v>65.202059740014477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10</v>
      </c>
      <c r="J417" s="536">
        <f t="shared" ca="1" si="182"/>
        <v>10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1</v>
      </c>
      <c r="J418" s="536">
        <f t="shared" si="182"/>
        <v>1</v>
      </c>
      <c r="K418" s="537">
        <f t="shared" ca="1" si="183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54560</v>
      </c>
      <c r="M419" s="154">
        <f t="shared" ca="1" si="184"/>
        <v>54560</v>
      </c>
      <c r="N419" s="154">
        <f t="shared" si="184"/>
        <v>54560</v>
      </c>
      <c r="O419" s="154">
        <f t="shared" ref="O419:O424" ca="1" si="185">IF(L419&gt;0,N419*100/L419,0)</f>
        <v>100</v>
      </c>
      <c r="P419" s="154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54560</v>
      </c>
      <c r="M421" s="45">
        <f t="shared" ca="1" si="187"/>
        <v>54560</v>
      </c>
      <c r="N421" s="45">
        <f t="shared" si="187"/>
        <v>54560</v>
      </c>
      <c r="O421" s="45">
        <f t="shared" ca="1" si="185"/>
        <v>100</v>
      </c>
      <c r="P421" s="45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54560</v>
      </c>
      <c r="M422" s="38">
        <f t="shared" ca="1" si="188"/>
        <v>54560</v>
      </c>
      <c r="N422" s="38">
        <f t="shared" si="188"/>
        <v>54560</v>
      </c>
      <c r="O422" s="38">
        <f t="shared" ca="1" si="185"/>
        <v>100</v>
      </c>
      <c r="P422" s="3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IFERROR(__xludf.DUMMYFUNCTION("IMPORTRANGE(""https://docs.google.com/spreadsheets/d/1QqKyyYR6Q21VydFLVH3TRQUabQu_ym0Zz7PgGX0-kHA/edit?usp=sharing"",""แผน!EY84"")"),54560)</f>
        <v>54560</v>
      </c>
      <c r="M424" s="45">
        <f ca="1">L424</f>
        <v>54560</v>
      </c>
      <c r="N424" s="45">
        <f>N425+N426+N427+N428</f>
        <v>54560</v>
      </c>
      <c r="O424" s="45">
        <f t="shared" ca="1" si="185"/>
        <v>100</v>
      </c>
      <c r="P424" s="45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24300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30260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IFERROR(__xludf.DUMMYFUNCTION("IMPORTRANGE(""https://docs.google.com/spreadsheets/d/1QqKyyYR6Q21VydFLVH3TRQUabQu_ym0Zz7PgGX0-kHA/edit?usp=sharing"",""แผน!FB84"")"),0)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10</v>
      </c>
      <c r="J433" s="190">
        <f ca="1">IF(AND(J435=I435,J437=I437,J439=I439),I437+I439,IF(AND(J435=I437,J437=I437),I437,IF(AND(J435=I439,J439=I439),I439,0)))</f>
        <v>10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IFERROR(__xludf.DUMMYFUNCTION("IMPORTRANGE(""https://docs.google.com/spreadsheets/d/1QqKyyYR6Q21VydFLVH3TRQUabQu_ym0Zz7PgGX0-kHA/edit?usp=sharing"",""แผน!FC84"")"),10)</f>
        <v>10</v>
      </c>
      <c r="J435" s="549">
        <v>10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IFERROR(__xludf.DUMMYFUNCTION("IMPORTRANGE(""https://docs.google.com/spreadsheets/d/1QqKyyYR6Q21VydFLVH3TRQUabQu_ym0Zz7PgGX0-kHA/edit?usp=sharing"",""แผน!FD84"")"),0)</f>
        <v>0</v>
      </c>
      <c r="J437" s="549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IFERROR(__xludf.DUMMYFUNCTION("IMPORTRANGE(""https://docs.google.com/spreadsheets/d/1QqKyyYR6Q21VydFLVH3TRQUabQu_ym0Zz7PgGX0-kHA/edit?usp=sharing"",""แผน!FE84"")"),0)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IFERROR(__xludf.DUMMYFUNCTION("IMPORTRANGE(""https://docs.google.com/spreadsheets/d/1QqKyyYR6Q21VydFLVH3TRQUabQu_ym0Zz7PgGX0-kHA/edit?usp=sharing"",""แผน!FF84"")"),10)</f>
        <v>10</v>
      </c>
      <c r="J439" s="549">
        <v>10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IFERROR(__xludf.DUMMYFUNCTION("IMPORTRANGE(""https://docs.google.com/spreadsheets/d/1QqKyyYR6Q21VydFLVH3TRQUabQu_ym0Zz7PgGX0-kHA/edit?usp=sharing"",""แผน!FG84"")"),1)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IFERROR(__xludf.DUMMYFUNCTION("IMPORTRANGE(""https://docs.google.com/spreadsheets/d/1QqKyyYR6Q21VydFLVH3TRQUabQu_ym0Zz7PgGX0-kHA/edit?usp=sharing"",""แผน!FH84"")"),0)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 hidden="1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0</v>
      </c>
      <c r="J443" s="536">
        <f t="shared" si="196"/>
        <v>0</v>
      </c>
      <c r="K443" s="537">
        <f t="shared" ca="1" si="194"/>
        <v>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 hidden="1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 hidden="1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IFERROR(__xludf.DUMMYFUNCTION("IMPORTRANGE(""https://docs.google.com/spreadsheets/d/1QqKyyYR6Q21VydFLVH3TRQUabQu_ym0Zz7PgGX0-kHA/edit?usp=sharing"",""แผน!FJ84"")"),0)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 hidden="1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 hidden="1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 hidden="1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 hidden="1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 hidden="1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IFERROR(__xludf.DUMMYFUNCTION("IMPORTRANGE(""https://docs.google.com/spreadsheets/d/1QqKyyYR6Q21VydFLVH3TRQUabQu_ym0Zz7PgGX0-kHA/edit?usp=sharing"",""แผน!FM84"")"),0)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 hidden="1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 hidden="1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IFERROR(__xludf.DUMMYFUNCTION("IMPORTRANGE(""https://docs.google.com/spreadsheets/d/1QqKyyYR6Q21VydFLVH3TRQUabQu_ym0Zz7PgGX0-kHA/edit?usp=sharing"",""แผน!FN84"")"),0)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 hidden="1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 hidden="1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IFERROR(__xludf.DUMMYFUNCTION("IMPORTRANGE(""https://docs.google.com/spreadsheets/d/1QqKyyYR6Q21VydFLVH3TRQUabQu_ym0Zz7PgGX0-kHA/edit?usp=sharing"",""แผน!FO84"")"),0)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 hidden="1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IFERROR(__xludf.DUMMYFUNCTION("IMPORTRANGE(""https://docs.google.com/spreadsheets/d/1QqKyyYR6Q21VydFLVH3TRQUabQu_ym0Zz7PgGX0-kHA/edit?usp=sharing"",""แผน!FO84"")"),0)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 hidden="1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IFERROR(__xludf.DUMMYFUNCTION("IMPORTRANGE(""https://docs.google.com/spreadsheets/d/1QqKyyYR6Q21VydFLVH3TRQUabQu_ym0Zz7PgGX0-kHA/edit?usp=sharing"",""แผน!FN84"")"),0)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IFERROR(__xludf.DUMMYFUNCTION("IMPORTRANGE(""https://docs.google.com/spreadsheets/d/1QqKyyYR6Q21VydFLVH3TRQUabQu_ym0Zz7PgGX0-kHA/edit?usp=sharing"",""แผน!FX84"")"),11)</f>
        <v>11</v>
      </c>
      <c r="J465" s="555">
        <f>J485+J489+J492</f>
        <v>11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IFERROR(__xludf.DUMMYFUNCTION("IMPORTRANGE(""https://docs.google.com/spreadsheets/d/1QqKyyYR6Q21VydFLVH3TRQUabQu_ym0Zz7PgGX0-kHA/edit?usp=sharing"",""แผน!FW84"")"),100)</f>
        <v>100</v>
      </c>
      <c r="J466" s="536">
        <f>J495+J498</f>
        <v>100</v>
      </c>
      <c r="K466" s="537">
        <f t="shared" ca="1" si="205"/>
        <v>100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114463</v>
      </c>
      <c r="M467" s="191">
        <f t="shared" ca="1" si="206"/>
        <v>114463</v>
      </c>
      <c r="N467" s="191">
        <f t="shared" si="206"/>
        <v>112145</v>
      </c>
      <c r="O467" s="191">
        <f t="shared" ref="O467:O472" ca="1" si="207">IF(L467&gt;0,N467*100/L467,0)</f>
        <v>97.974891449638747</v>
      </c>
      <c r="P467" s="191">
        <f t="shared" ref="P467:P472" ca="1" si="208">IF(M467&gt;0,N467*100/M467,0)</f>
        <v>97.974891449638747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114463</v>
      </c>
      <c r="M469" s="45">
        <f t="shared" ca="1" si="209"/>
        <v>114463</v>
      </c>
      <c r="N469" s="45">
        <f t="shared" si="209"/>
        <v>112145</v>
      </c>
      <c r="O469" s="45">
        <f t="shared" ca="1" si="207"/>
        <v>97.974891449638747</v>
      </c>
      <c r="P469" s="45">
        <f t="shared" ca="1" si="208"/>
        <v>97.974891449638747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114463</v>
      </c>
      <c r="M470" s="38">
        <f t="shared" ca="1" si="210"/>
        <v>114463</v>
      </c>
      <c r="N470" s="38">
        <f t="shared" si="210"/>
        <v>112145</v>
      </c>
      <c r="O470" s="38">
        <f t="shared" ca="1" si="207"/>
        <v>97.974891449638747</v>
      </c>
      <c r="P470" s="38">
        <f t="shared" ca="1" si="208"/>
        <v>97.974891449638747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IFERROR(__xludf.DUMMYFUNCTION("IMPORTRANGE(""https://docs.google.com/spreadsheets/d/1QqKyyYR6Q21VydFLVH3TRQUabQu_ym0Zz7PgGX0-kHA/edit?usp=sharing"",""แผน!FS84"")"),114463)</f>
        <v>114463</v>
      </c>
      <c r="M472" s="45">
        <f ca="1">L472</f>
        <v>114463</v>
      </c>
      <c r="N472" s="45">
        <f>N473+N474+N475+N476</f>
        <v>112145</v>
      </c>
      <c r="O472" s="45">
        <f t="shared" ca="1" si="207"/>
        <v>97.974891449638747</v>
      </c>
      <c r="P472" s="45">
        <f t="shared" ca="1" si="208"/>
        <v>97.974891449638747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14293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66000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31852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IFERROR(__xludf.DUMMYFUNCTION("IMPORTRANGE(""https://docs.google.com/spreadsheets/d/1QqKyyYR6Q21VydFLVH3TRQUabQu_ym0Zz7PgGX0-kHA/edit?usp=sharing"",""แผน!FV84"")"),0)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IFERROR(__xludf.DUMMYFUNCTION("IMPORTRANGE(""https://docs.google.com/spreadsheets/d/1QqKyyYR6Q21VydFLVH3TRQUabQu_ym0Zz7PgGX0-kHA/edit?usp=sharing"",""แผน!FY84"")"),90)</f>
        <v>90</v>
      </c>
      <c r="J483" s="181">
        <v>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9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IFERROR(__xludf.DUMMYFUNCTION("IMPORTRANGE(""https://docs.google.com/spreadsheets/d/1QqKyyYR6Q21VydFLVH3TRQUabQu_ym0Zz7PgGX0-kHA/edit?usp=sharing"",""แผน!FZ84"")"),9)</f>
        <v>9</v>
      </c>
      <c r="J485" s="181">
        <v>9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IFERROR(__xludf.DUMMYFUNCTION("IMPORTRANGE(""https://docs.google.com/spreadsheets/d/1QqKyyYR6Q21VydFLVH3TRQUabQu_ym0Zz7PgGX0-kHA/edit?usp=sharing"",""แผน!GA84"")"),10)</f>
        <v>10</v>
      </c>
      <c r="J487" s="181">
        <v>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1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IFERROR(__xludf.DUMMYFUNCTION("IMPORTRANGE(""https://docs.google.com/spreadsheets/d/1QqKyyYR6Q21VydFLVH3TRQUabQu_ym0Zz7PgGX0-kHA/edit?usp=sharing"",""แผน!GB84"")"),1)</f>
        <v>1</v>
      </c>
      <c r="J489" s="181">
        <v>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IFERROR(__xludf.DUMMYFUNCTION("IMPORTRANGE(""https://docs.google.com/spreadsheets/d/1QqKyyYR6Q21VydFLVH3TRQUabQu_ym0Zz7PgGX0-kHA/edit?usp=sharing"",""แผน!GC84"")"),1)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IFERROR(__xludf.DUMMYFUNCTION("IMPORTRANGE(""https://docs.google.com/spreadsheets/d/1QqKyyYR6Q21VydFLVH3TRQUabQu_ym0Zz7PgGX0-kHA/edit?usp=sharing"",""แผน!FY84"")"),90)</f>
        <v>90</v>
      </c>
      <c r="J495" s="181">
        <v>90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IFERROR(__xludf.DUMMYFUNCTION("IMPORTRANGE(""https://docs.google.com/spreadsheets/d/1QqKyyYR6Q21VydFLVH3TRQUabQu_ym0Zz7PgGX0-kHA/edit?usp=sharing"",""แผน!GA84"")"),10)</f>
        <v>10</v>
      </c>
      <c r="J498" s="181">
        <v>10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 hidden="1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 hidden="1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0</v>
      </c>
      <c r="J522" s="630">
        <f t="shared" ca="1" si="225"/>
        <v>0</v>
      </c>
      <c r="K522" s="631">
        <f ca="1">IF(I522&gt;0,J522*100/I522,0)</f>
        <v>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 hidden="1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 hidden="1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IFERROR(__xludf.DUMMYFUNCTION("IMPORTRANGE(""https://docs.google.com/spreadsheets/d/1QqKyyYR6Q21VydFLVH3TRQUabQu_ym0Zz7PgGX0-kHA/edit?usp=sharing"",""แผน!GQ84"")"),0)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 hidden="1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 hidden="1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 hidden="1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 hidden="1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 hidden="1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IFERROR(__xludf.DUMMYFUNCTION("IMPORTRANGE(""https://docs.google.com/spreadsheets/d/1QqKyyYR6Q21VydFLVH3TRQUabQu_ym0Zz7PgGX0-kHA/edit?usp=sharing"",""แผน!GT84"")"),0)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 hidden="1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 hidden="1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IFERROR(__xludf.DUMMYFUNCTION("IMPORTRANGE(""https://docs.google.com/spreadsheets/d/1QqKyyYR6Q21VydFLVH3TRQUabQu_ym0Zz7PgGX0-kHA/edit?usp=sharing"",""แผน!GU84"")"),0)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 hidden="1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IFERROR(__xludf.DUMMYFUNCTION("IMPORTRANGE(""https://docs.google.com/spreadsheets/d/1QqKyyYR6Q21VydFLVH3TRQUabQu_ym0Zz7PgGX0-kHA/edit?usp=sharing"",""แผน!GV84"")"),0)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 hidden="1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IFERROR(__xludf.DUMMYFUNCTION("IMPORTRANGE(""https://docs.google.com/spreadsheets/d/1QqKyyYR6Q21VydFLVH3TRQUabQu_ym0Zz7PgGX0-kHA/edit?usp=sharing"",""แผน!GW84"")"),0)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 hidden="1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IFERROR(__xludf.DUMMYFUNCTION("IMPORTRANGE(""https://docs.google.com/spreadsheets/d/1QqKyyYR6Q21VydFLVH3TRQUabQu_ym0Zz7PgGX0-kHA/edit?usp=sharing"",""แผน!GX84"")"),0)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 hidden="1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IFERROR(__xludf.DUMMYFUNCTION("IMPORTRANGE(""https://docs.google.com/spreadsheets/d/1QqKyyYR6Q21VydFLVH3TRQUabQu_ym0Zz7PgGX0-kHA/edit?usp=sharing"",""แผน!GY84"")"),0)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 hidden="1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IFERROR(__xludf.DUMMYFUNCTION("IMPORTRANGE(""https://docs.google.com/spreadsheets/d/1QqKyyYR6Q21VydFLVH3TRQUabQu_ym0Zz7PgGX0-kHA/edit?usp=sharing"",""แผน!GZ84"")"),0)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6007</v>
      </c>
      <c r="J543" s="638">
        <f t="shared" si="235"/>
        <v>6007</v>
      </c>
      <c r="K543" s="639">
        <f t="shared" ca="1" si="234"/>
        <v>100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231097</v>
      </c>
      <c r="M544" s="154">
        <f t="shared" ca="1" si="236"/>
        <v>231097</v>
      </c>
      <c r="N544" s="154">
        <f t="shared" si="236"/>
        <v>192097</v>
      </c>
      <c r="O544" s="154">
        <f t="shared" ref="O544:O549" ca="1" si="237">IF(L544&gt;0,N544*100/L544,0)</f>
        <v>83.123969588527757</v>
      </c>
      <c r="P544" s="154">
        <f t="shared" ref="P544:P549" ca="1" si="238">IF(M544&gt;0,N544*100/M544,0)</f>
        <v>83.123969588527757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231097</v>
      </c>
      <c r="M546" s="45">
        <f t="shared" ca="1" si="240"/>
        <v>231097</v>
      </c>
      <c r="N546" s="45">
        <f t="shared" si="240"/>
        <v>192097</v>
      </c>
      <c r="O546" s="45">
        <f t="shared" ca="1" si="237"/>
        <v>83.123969588527757</v>
      </c>
      <c r="P546" s="45">
        <f t="shared" ca="1" si="238"/>
        <v>83.123969588527757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231097</v>
      </c>
      <c r="M547" s="38">
        <f t="shared" ca="1" si="241"/>
        <v>231097</v>
      </c>
      <c r="N547" s="38">
        <f t="shared" si="241"/>
        <v>192097</v>
      </c>
      <c r="O547" s="38">
        <f t="shared" ca="1" si="237"/>
        <v>83.123969588527757</v>
      </c>
      <c r="P547" s="38">
        <f t="shared" ca="1" si="238"/>
        <v>83.123969588527757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IFERROR(__xludf.DUMMYFUNCTION("IMPORTRANGE(""https://docs.google.com/spreadsheets/d/1QqKyyYR6Q21VydFLVH3TRQUabQu_ym0Zz7PgGX0-kHA/edit?usp=sharing"",""แผน!HB84"")"),231097)</f>
        <v>231097</v>
      </c>
      <c r="M549" s="45">
        <f ca="1">L549</f>
        <v>231097</v>
      </c>
      <c r="N549" s="45">
        <f>N550+N551+N552+N553+N554</f>
        <v>192097</v>
      </c>
      <c r="O549" s="45">
        <f t="shared" ca="1" si="237"/>
        <v>83.123969588527757</v>
      </c>
      <c r="P549" s="45">
        <f t="shared" ca="1" si="238"/>
        <v>83.123969588527757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104000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88097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IFERROR(__xludf.DUMMYFUNCTION("IMPORTRANGE(""https://docs.google.com/spreadsheets/d/1QqKyyYR6Q21VydFLVH3TRQUabQu_ym0Zz7PgGX0-kHA/edit?usp=sharing"",""แผน!HF84"")"),0)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6007</v>
      </c>
      <c r="J559" s="630">
        <f t="shared" si="245"/>
        <v>6007</v>
      </c>
      <c r="K559" s="631">
        <f t="shared" ref="K559:K561" ca="1" si="246">IF(I559&gt;0,J559*100/I559,0)</f>
        <v>100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IFERROR(__xludf.DUMMYFUNCTION("IMPORTRANGE(""https://docs.google.com/spreadsheets/d/1QqKyyYR6Q21VydFLVH3TRQUabQu_ym0Zz7PgGX0-kHA/edit?usp=sharing"",""แผน!HH84"")"),6007)</f>
        <v>6007</v>
      </c>
      <c r="J560" s="189">
        <f t="shared" ref="J560:J561" si="247">J562+J564+J566</f>
        <v>6007</v>
      </c>
      <c r="K560" s="391">
        <f t="shared" ca="1" si="246"/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IFERROR(__xludf.DUMMYFUNCTION("IMPORTRANGE(""https://docs.google.com/spreadsheets/d/1QqKyyYR6Q21VydFLVH3TRQUabQu_ym0Zz7PgGX0-kHA/edit?usp=sharing"",""แผน!HG84"")"),823)</f>
        <v>823</v>
      </c>
      <c r="J561" s="189">
        <f t="shared" si="247"/>
        <v>823</v>
      </c>
      <c r="K561" s="391">
        <f t="shared" ca="1" si="246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5493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756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442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57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72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10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IFERROR(__xludf.DUMMYFUNCTION("IMPORTRANGE(""https://docs.google.com/spreadsheets/d/1QqKyyYR6Q21VydFLVH3TRQUabQu_ym0Zz7PgGX0-kHA/edit?usp=sharing"",""แผน!HH84"")"),6007)</f>
        <v>6007</v>
      </c>
      <c r="J568" s="190">
        <f t="shared" ref="J568:J569" si="248">J570+J572+J574</f>
        <v>6007</v>
      </c>
      <c r="K568" s="391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IFERROR(__xludf.DUMMYFUNCTION("IMPORTRANGE(""https://docs.google.com/spreadsheets/d/1QqKyyYR6Q21VydFLVH3TRQUabQu_ym0Zz7PgGX0-kHA/edit?usp=sharing"",""แผน!HG84"")"),823)</f>
        <v>823</v>
      </c>
      <c r="J569" s="190">
        <f t="shared" si="248"/>
        <v>823</v>
      </c>
      <c r="K569" s="391">
        <f t="shared" ca="1" si="249"/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5493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756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442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57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72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10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IFERROR(__xludf.DUMMYFUNCTION("IMPORTRANGE(""https://docs.google.com/spreadsheets/d/1QqKyyYR6Q21VydFLVH3TRQUabQu_ym0Zz7PgGX0-kHA/edit?usp=sharing"",""แผน!HH84"")"),6007)</f>
        <v>6007</v>
      </c>
      <c r="J576" s="190">
        <f t="shared" ref="J576:J577" si="250">J578+J580+J582+J588+J590</f>
        <v>6007</v>
      </c>
      <c r="K576" s="391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IFERROR(__xludf.DUMMYFUNCTION("IMPORTRANGE(""https://docs.google.com/spreadsheets/d/1QqKyyYR6Q21VydFLVH3TRQUabQu_ym0Zz7PgGX0-kHA/edit?usp=sharing"",""แผน!HG84"")"),823)</f>
        <v>823</v>
      </c>
      <c r="J577" s="190">
        <f t="shared" si="250"/>
        <v>823</v>
      </c>
      <c r="K577" s="391">
        <f t="shared" ca="1" si="251"/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5615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765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329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48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329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48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63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10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50.42</v>
      </c>
      <c r="J592" s="630">
        <f t="shared" si="253"/>
        <v>50</v>
      </c>
      <c r="K592" s="631">
        <f t="shared" ref="K592:K594" ca="1" si="254">IF(I592&gt;0,J592*100/I592,0)</f>
        <v>99.166997223324074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IFERROR(__xludf.DUMMYFUNCTION("IMPORTRANGE(""https://docs.google.com/spreadsheets/d/1QqKyyYR6Q21VydFLVH3TRQUabQu_ym0Zz7PgGX0-kHA/edit?usp=sharing"",""แผน!HJ84"")"),50.42)</f>
        <v>50.42</v>
      </c>
      <c r="J593" s="189">
        <f t="shared" ref="J593:J594" si="255">J595+J603+J609</f>
        <v>50</v>
      </c>
      <c r="K593" s="391">
        <f t="shared" ca="1" si="254"/>
        <v>99.166997223324074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IFERROR(__xludf.DUMMYFUNCTION("IMPORTRANGE(""https://docs.google.com/spreadsheets/d/1QqKyyYR6Q21VydFLVH3TRQUabQu_ym0Zz7PgGX0-kHA/edit?usp=sharing"",""แผน!HI84"")"),8)</f>
        <v>8</v>
      </c>
      <c r="J594" s="189">
        <f t="shared" si="255"/>
        <v>8</v>
      </c>
      <c r="K594" s="391">
        <f t="shared" ca="1" si="254"/>
        <v>100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50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8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50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8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 hidden="1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 hidden="1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IFERROR(__xludf.DUMMYFUNCTION("IMPORTRANGE(""https://docs.google.com/spreadsheets/d/1QqKyyYR6Q21VydFLVH3TRQUabQu_ym0Zz7PgGX0-kHA/edit?usp=sharing"",""แผน!HL84"")"),0)</f>
        <v>0</v>
      </c>
      <c r="J620" s="675">
        <f t="shared" ref="J620:J621" si="260">J622+J624+J626</f>
        <v>0</v>
      </c>
      <c r="K620" s="676">
        <f t="shared" ref="K620:K621" ca="1" si="261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 hidden="1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IFERROR(__xludf.DUMMYFUNCTION("IMPORTRANGE(""https://docs.google.com/spreadsheets/d/1QqKyyYR6Q21VydFLVH3TRQUabQu_ym0Zz7PgGX0-kHA/edit?usp=sharing"",""แผน!HK84"")"),0)</f>
        <v>0</v>
      </c>
      <c r="J621" s="675">
        <f t="shared" si="260"/>
        <v>0</v>
      </c>
      <c r="K621" s="676">
        <f t="shared" ca="1" si="261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 hidden="1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 hidden="1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 hidden="1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 hidden="1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 hidden="1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 hidden="1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120</v>
      </c>
      <c r="J628" s="686">
        <f t="shared" ca="1" si="262"/>
        <v>0</v>
      </c>
      <c r="K628" s="687">
        <f ca="1">IF(I628&gt;0,J628*100/I628,0)</f>
        <v>0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384755</v>
      </c>
      <c r="M629" s="191">
        <f t="shared" ca="1" si="263"/>
        <v>384755</v>
      </c>
      <c r="N629" s="191">
        <f t="shared" si="263"/>
        <v>150461.66</v>
      </c>
      <c r="O629" s="191">
        <f t="shared" ref="O629:O634" ca="1" si="264">IF(L629&gt;0,N629*100/L629,0)</f>
        <v>39.105836181466131</v>
      </c>
      <c r="P629" s="191">
        <f t="shared" ref="P629:P634" ca="1" si="265">IF(M629&gt;0,N629*100/M629,0)</f>
        <v>39.105836181466131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384755</v>
      </c>
      <c r="M631" s="45">
        <f t="shared" ca="1" si="266"/>
        <v>384755</v>
      </c>
      <c r="N631" s="45">
        <f t="shared" si="266"/>
        <v>150461.66</v>
      </c>
      <c r="O631" s="45">
        <f t="shared" ca="1" si="264"/>
        <v>39.105836181466131</v>
      </c>
      <c r="P631" s="45">
        <f t="shared" ca="1" si="265"/>
        <v>39.105836181466131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384755</v>
      </c>
      <c r="M632" s="38">
        <f t="shared" ca="1" si="267"/>
        <v>384755</v>
      </c>
      <c r="N632" s="38">
        <f t="shared" si="267"/>
        <v>150461.66</v>
      </c>
      <c r="O632" s="38">
        <f t="shared" ca="1" si="264"/>
        <v>39.105836181466131</v>
      </c>
      <c r="P632" s="38">
        <f t="shared" ca="1" si="265"/>
        <v>39.105836181466131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IFERROR(__xludf.DUMMYFUNCTION("IMPORTRANGE(""https://docs.google.com/spreadsheets/d/1QqKyyYR6Q21VydFLVH3TRQUabQu_ym0Zz7PgGX0-kHA/edit?usp=sharing"",""แผน!HN84"")"),384755)</f>
        <v>384755</v>
      </c>
      <c r="M634" s="45">
        <f ca="1">L634</f>
        <v>384755</v>
      </c>
      <c r="N634" s="45">
        <f>N635+N636+N637+N638</f>
        <v>150461.66</v>
      </c>
      <c r="O634" s="45">
        <f t="shared" ca="1" si="264"/>
        <v>39.105836181466131</v>
      </c>
      <c r="P634" s="45">
        <f t="shared" ca="1" si="265"/>
        <v>39.105836181466131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103566.66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46895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IFERROR(__xludf.DUMMYFUNCTION("IMPORTRANGE(""https://docs.google.com/spreadsheets/d/1QqKyyYR6Q21VydFLVH3TRQUabQu_ym0Zz7PgGX0-kHA/edit?usp=sharing"",""แผน!HQ84"")"),0)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IFERROR(__xludf.DUMMYFUNCTION("IMPORTRANGE(""https://docs.google.com/spreadsheets/d/1QqKyyYR6Q21VydFLVH3TRQUabQu_ym0Zz7PgGX0-kHA/edit?usp=sharing"",""แผน!HR84"")"),2)</f>
        <v>2</v>
      </c>
      <c r="J643" s="181">
        <v>2</v>
      </c>
      <c r="K643" s="162">
        <f t="shared" ref="K643:K652" ca="1" si="271">IF(I643&gt;0,J643*100/I643,0)</f>
        <v>100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IFERROR(__xludf.DUMMYFUNCTION("IMPORTRANGE(""https://docs.google.com/spreadsheets/d/1QqKyyYR6Q21VydFLVH3TRQUabQu_ym0Zz7PgGX0-kHA/edit?usp=sharing"",""แผน!HR84"")"),2)</f>
        <v>2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IFERROR(__xludf.DUMMYFUNCTION("IMPORTRANGE(""https://docs.google.com/spreadsheets/d/1XWAQStnk-4SwqDmLtmXYiTMKHgktTP8We1SCoS47DrQ/edit?usp=sharing"",""จัดที่ดิน!AS84"")"),0)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IFERROR(__xludf.DUMMYFUNCTION("IMPORTRANGE(""https://docs.google.com/spreadsheets/d/1XWAQStnk-4SwqDmLtmXYiTMKHgktTP8We1SCoS47DrQ/edit?usp=sharing"",""จัดที่ดิน!AT84"")"),0)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IFERROR(__xludf.DUMMYFUNCTION("IMPORTRANGE(""https://docs.google.com/spreadsheets/d/1QqKyyYR6Q21VydFLVH3TRQUabQu_ym0Zz7PgGX0-kHA/edit?usp=sharing"",""แผน!HS84"")"),120)</f>
        <v>120</v>
      </c>
      <c r="J647" s="37">
        <f ca="1">IFERROR(__xludf.DUMMYFUNCTION("IMPORTRANGE(""https://docs.google.com/spreadsheets/d/1XWAQStnk-4SwqDmLtmXYiTMKHgktTP8We1SCoS47DrQ/edit?usp=sharing"",""จัดที่ดิน!AU84"")"),0)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IFERROR(__xludf.DUMMYFUNCTION("IMPORTRANGE(""https://docs.google.com/spreadsheets/d/1XWAQStnk-4SwqDmLtmXYiTMKHgktTP8We1SCoS47DrQ/edit?usp=sharing"",""จัดที่ดิน!AV84"")"),0)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IFERROR(__xludf.DUMMYFUNCTION("IMPORTRANGE(""https://docs.google.com/spreadsheets/d/1QqKyyYR6Q21VydFLVH3TRQUabQu_ym0Zz7PgGX0-kHA/edit?usp=sharing"",""แผน!HS84"")"),120)</f>
        <v>120</v>
      </c>
      <c r="J649" s="37">
        <f ca="1">IFERROR(__xludf.DUMMYFUNCTION("IMPORTRANGE(""https://docs.google.com/spreadsheets/d/1XWAQStnk-4SwqDmLtmXYiTMKHgktTP8We1SCoS47DrQ/edit?usp=sharing"",""จัดที่ดิน!AW84"")"),0)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IFERROR(__xludf.DUMMYFUNCTION("IMPORTRANGE(""https://docs.google.com/spreadsheets/d/1XWAQStnk-4SwqDmLtmXYiTMKHgktTP8We1SCoS47DrQ/edit?usp=sharing"",""จัดที่ดิน!AX84"")"),0)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IFERROR(__xludf.DUMMYFUNCTION("IMPORTRANGE(""https://docs.google.com/spreadsheets/d/1QqKyyYR6Q21VydFLVH3TRQUabQu_ym0Zz7PgGX0-kHA/edit?usp=sharing"",""แผน!HS84"")"),120)</f>
        <v>120</v>
      </c>
      <c r="J651" s="37">
        <f ca="1">IFERROR(__xludf.DUMMYFUNCTION("IMPORTRANGE(""https://docs.google.com/spreadsheets/d/1XWAQStnk-4SwqDmLtmXYiTMKHgktTP8We1SCoS47DrQ/edit?usp=sharing"",""จัดที่ดิน!AY84"")"),0)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IFERROR(__xludf.DUMMYFUNCTION("IMPORTRANGE(""https://docs.google.com/spreadsheets/d/1XWAQStnk-4SwqDmLtmXYiTMKHgktTP8We1SCoS47DrQ/edit?usp=sharing"",""จัดที่ดิน!AZ84"")"),0)</f>
        <v>0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50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9400</v>
      </c>
      <c r="M655" s="191">
        <f t="shared" ca="1" si="273"/>
        <v>9400</v>
      </c>
      <c r="N655" s="191">
        <f t="shared" si="273"/>
        <v>8620</v>
      </c>
      <c r="O655" s="191">
        <f t="shared" ref="O655:O660" ca="1" si="274">IF(L655&gt;0,N655*100/L655,0)</f>
        <v>91.702127659574472</v>
      </c>
      <c r="P655" s="191">
        <f t="shared" ref="P655:P660" ca="1" si="275">IF(M655&gt;0,N655*100/M655,0)</f>
        <v>91.702127659574472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9400</v>
      </c>
      <c r="M657" s="45">
        <f t="shared" ca="1" si="276"/>
        <v>9400</v>
      </c>
      <c r="N657" s="45">
        <f t="shared" si="276"/>
        <v>8620</v>
      </c>
      <c r="O657" s="45">
        <f t="shared" ca="1" si="274"/>
        <v>91.702127659574472</v>
      </c>
      <c r="P657" s="45">
        <f t="shared" ca="1" si="275"/>
        <v>91.702127659574472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9400</v>
      </c>
      <c r="M658" s="38">
        <f t="shared" ca="1" si="277"/>
        <v>9400</v>
      </c>
      <c r="N658" s="38">
        <f t="shared" si="277"/>
        <v>8620</v>
      </c>
      <c r="O658" s="38">
        <f t="shared" ca="1" si="274"/>
        <v>91.702127659574472</v>
      </c>
      <c r="P658" s="38">
        <f t="shared" ca="1" si="275"/>
        <v>91.702127659574472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IFERROR(__xludf.DUMMYFUNCTION("IMPORTRANGE(""https://docs.google.com/spreadsheets/d/1QqKyyYR6Q21VydFLVH3TRQUabQu_ym0Zz7PgGX0-kHA/edit?usp=sharing"",""แผน!HV84"")"),9400)</f>
        <v>9400</v>
      </c>
      <c r="M660" s="45">
        <f ca="1">L660</f>
        <v>9400</v>
      </c>
      <c r="N660" s="45">
        <f>N661+N662+N663+N664</f>
        <v>8620</v>
      </c>
      <c r="O660" s="45">
        <f t="shared" ca="1" si="274"/>
        <v>91.702127659574472</v>
      </c>
      <c r="P660" s="45">
        <f t="shared" ca="1" si="275"/>
        <v>91.702127659574472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8620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IFERROR(__xludf.DUMMYFUNCTION("IMPORTRANGE(""https://docs.google.com/spreadsheets/d/1QqKyyYR6Q21VydFLVH3TRQUabQu_ym0Zz7PgGX0-kHA/edit?usp=sharing"",""แผน!IA84"")"),50)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IFERROR(__xludf.DUMMYFUNCTION("IMPORTRANGE(""https://docs.google.com/spreadsheets/d/1QqKyyYR6Q21VydFLVH3TRQUabQu_ym0Zz7PgGX0-kHA/edit?usp=sharing"",""แผน!HZ84"")"),4)</f>
        <v>4</v>
      </c>
      <c r="J670" s="181">
        <v>4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IFERROR(__xludf.DUMMYFUNCTION("IMPORTRANGE(""https://docs.google.com/spreadsheets/d/1QqKyyYR6Q21VydFLVH3TRQUabQu_ym0Zz7PgGX0-kHA/edit?usp=sharing"",""แผน!HZ84"")"),4)</f>
        <v>4</v>
      </c>
      <c r="J671" s="181">
        <v>4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202</v>
      </c>
      <c r="K672" s="38">
        <f t="shared" ref="K672:K675" ca="1" si="281">IF(I$669&gt;0,J672*100/I$669,0)</f>
        <v>404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IFERROR(__xludf.DUMMYFUNCTION("IMPORTRANGE(""https://docs.google.com/spreadsheets/d/1QqKyyYR6Q21VydFLVH3TRQUabQu_ym0Zz7PgGX0-kHA/edit?usp=sharing"",""แผน!IB84"")"),0)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 hidden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 hidden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 hidden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IFERROR(__xludf.DUMMYFUNCTION("IMPORTRANGE(""https://docs.google.com/spreadsheets/d/1QqKyyYR6Q21VydFLVH3TRQUabQu_ym0Zz7PgGX0-kHA/edit?usp=sharing"",""แผน!HW84"")"),0)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 hidden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 hidden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 hidden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 hidden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 hidden="1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 hidden="1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 hidden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IFERROR(__xludf.DUMMYFUNCTION("IMPORTRANGE(""https://docs.google.com/spreadsheets/d/1QqKyyYR6Q21VydFLVH3TRQUabQu_ym0Zz7PgGX0-kHA/edit?usp=sharing"",""แผน!IC84"")"),0)</f>
        <v>0</v>
      </c>
      <c r="J699" s="37">
        <f ca="1">IFERROR(__xludf.DUMMYFUNCTION("IMPORTRANGE(""https://docs.google.com/spreadsheets/d/1XWAQStnk-4SwqDmLtmXYiTMKHgktTP8We1SCoS47DrQ/edit?usp=sharing"",""จัดที่ดิน!BB84"")"),0)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 hidden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IFERROR(__xludf.DUMMYFUNCTION("IMPORTRANGE(""https://docs.google.com/spreadsheets/d/1QqKyyYR6Q21VydFLVH3TRQUabQu_ym0Zz7PgGX0-kHA/edit?usp=sharing"",""แผน!ID84"")"),0)</f>
        <v>0</v>
      </c>
      <c r="J700" s="37">
        <f ca="1">IFERROR(__xludf.DUMMYFUNCTION("IMPORTRANGE(""https://docs.google.com/spreadsheets/d/1XWAQStnk-4SwqDmLtmXYiTMKHgktTP8We1SCoS47DrQ/edit?usp=sharing"",""จัดที่ดิน!BD84"")"),0)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 hidden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IFERROR(__xludf.DUMMYFUNCTION("IMPORTRANGE(""https://docs.google.com/spreadsheets/d/1QqKyyYR6Q21VydFLVH3TRQUabQu_ym0Zz7PgGX0-kHA/edit?usp=sharing"",""แผน!IE84"")"),0)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 hidden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 hidden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 hidden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IFERROR(__xludf.DUMMYFUNCTION("IMPORTRANGE(""https://docs.google.com/spreadsheets/d/1QqKyyYR6Q21VydFLVH3TRQUabQu_ym0Zz7PgGX0-kHA/edit?usp=sharing"",""แผน!IF84"")"),0)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 hidden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 hidden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 hidden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IFERROR(__xludf.DUMMYFUNCTION("IMPORTRANGE(""https://docs.google.com/spreadsheets/d/1QqKyyYR6Q21VydFLVH3TRQUabQu_ym0Zz7PgGX0-kHA/edit?usp=sharing"",""แผน!IG84"")"),0)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 hidden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IFERROR(__xludf.DUMMYFUNCTION("IMPORTRANGE(""https://docs.google.com/spreadsheets/d/1QqKyyYR6Q21VydFLVH3TRQUabQu_ym0Zz7PgGX0-kHA/edit?usp=sharing"",""แผน!IH84"")"),0)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 hidden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 hidden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 hidden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 hidden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 hidden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 hidden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 hidden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 hidden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 hidden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 hidden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IFERROR(__xludf.DUMMYFUNCTION("IMPORTRANGE(""https://docs.google.com/spreadsheets/d/1XWAQStnk-4SwqDmLtmXYiTMKHgktTP8We1SCoS47DrQ/edit?usp=sharing"",""จัดที่ดิน!BF84"")"),0)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 hidden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IFERROR(__xludf.DUMMYFUNCTION("IMPORTRANGE(""https://docs.google.com/spreadsheets/d/1XWAQStnk-4SwqDmLtmXYiTMKHgktTP8We1SCoS47DrQ/edit?usp=sharing"",""จัดที่ดิน!BG84"")"),0)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 hidden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IFERROR(__xludf.DUMMYFUNCTION("IMPORTRANGE(""https://docs.google.com/spreadsheets/d/1QqKyyYR6Q21VydFLVH3TRQUabQu_ym0Zz7PgGX0-kHA/edit?usp=sharing"",""แผน!II84"")"),0)</f>
        <v>0</v>
      </c>
      <c r="J720" s="37">
        <f ca="1">IFERROR(__xludf.DUMMYFUNCTION("IMPORTRANGE(""https://docs.google.com/spreadsheets/d/1XWAQStnk-4SwqDmLtmXYiTMKHgktTP8We1SCoS47DrQ/edit?usp=sharing"",""จัดที่ดิน!BH84"")"),0)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 hidden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IFERROR(__xludf.DUMMYFUNCTION("IMPORTRANGE(""https://docs.google.com/spreadsheets/d/1QqKyyYR6Q21VydFLVH3TRQUabQu_ym0Zz7PgGX0-kHA/edit?usp=sharing"",""แผน!IJ84"")"),0)</f>
        <v>0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 hidden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IFERROR(__xludf.DUMMYFUNCTION("IMPORTRANGE(""https://docs.google.com/spreadsheets/d/1QqKyyYR6Q21VydFLVH3TRQUabQu_ym0Zz7PgGX0-kHA/edit?usp=sharing"",""แผน!IK84"")"),0)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 hidden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IFERROR(__xludf.DUMMYFUNCTION("IMPORTRANGE(""https://docs.google.com/spreadsheets/d/1QqKyyYR6Q21VydFLVH3TRQUabQu_ym0Zz7PgGX0-kHA/edit?usp=sharing"",""แผน!IL84"")"),0)</f>
        <v>0</v>
      </c>
      <c r="J723" s="37">
        <f ca="1">IFERROR(__xludf.DUMMYFUNCTION("IMPORTRANGE(""https://docs.google.com/spreadsheets/d/1XWAQStnk-4SwqDmLtmXYiTMKHgktTP8We1SCoS47DrQ/edit?usp=sharing"",""จัดที่ดิน!BM84"")"),0)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 hidden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IFERROR(__xludf.DUMMYFUNCTION("IMPORTRANGE(""https://docs.google.com/spreadsheets/d/1XWAQStnk-4SwqDmLtmXYiTMKHgktTP8We1SCoS47DrQ/edit?usp=sharing"",""จัดที่ดิน!BN84"")"),0)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 hidden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IFERROR(__xludf.DUMMYFUNCTION("IMPORTRANGE(""https://docs.google.com/spreadsheets/d/1QqKyyYR6Q21VydFLVH3TRQUabQu_ym0Zz7PgGX0-kHA/edit?usp=sharing"",""แผน!IM84"")"),0)</f>
        <v>0</v>
      </c>
      <c r="J725" s="37">
        <f ca="1">IFERROR(__xludf.DUMMYFUNCTION("IMPORTRANGE(""https://docs.google.com/spreadsheets/d/1XWAQStnk-4SwqDmLtmXYiTMKHgktTP8We1SCoS47DrQ/edit?usp=sharing"",""จัดที่ดิน!BO84"")"),0)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 hidden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IFERROR(__xludf.DUMMYFUNCTION("IMPORTRANGE(""https://docs.google.com/spreadsheets/d/1QqKyyYR6Q21VydFLVH3TRQUabQu_ym0Zz7PgGX0-kHA/edit?usp=sharing"",""แผน!IN84"")"),0)</f>
        <v>0</v>
      </c>
      <c r="J726" s="37">
        <f ca="1">IFERROR(__xludf.DUMMYFUNCTION("IMPORTRANGE(""https://docs.google.com/spreadsheets/d/1XWAQStnk-4SwqDmLtmXYiTMKHgktTP8We1SCoS47DrQ/edit?usp=sharing"",""จัดที่ดิน!BR84"")"),0)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 hidden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IFERROR(__xludf.DUMMYFUNCTION("IMPORTRANGE(""https://docs.google.com/spreadsheets/d/1XWAQStnk-4SwqDmLtmXYiTMKHgktTP8We1SCoS47DrQ/edit?usp=sharing"",""จัดที่ดิน!BS84"")"),0)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 hidden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IFERROR(__xludf.DUMMYFUNCTION("IMPORTRANGE(""https://docs.google.com/spreadsheets/d/1QqKyyYR6Q21VydFLVH3TRQUabQu_ym0Zz7PgGX0-kHA/edit?usp=sharing"",""แผน!IO84"")"),0)</f>
        <v>0</v>
      </c>
      <c r="J728" s="37">
        <f ca="1">IFERROR(__xludf.DUMMYFUNCTION("IMPORTRANGE(""https://docs.google.com/spreadsheets/d/1XWAQStnk-4SwqDmLtmXYiTMKHgktTP8We1SCoS47DrQ/edit?usp=sharing"",""จัดที่ดิน!BT84"")"),0)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 hidden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IFERROR(__xludf.DUMMYFUNCTION("IMPORTRANGE(""https://docs.google.com/spreadsheets/d/1QqKyyYR6Q21VydFLVH3TRQUabQu_ym0Zz7PgGX0-kHA/edit?usp=sharing"",""แผน!IP84"")"),0)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 hidden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 hidden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 hidden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 hidden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 hidden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 hidden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IFERROR(__xludf.DUMMYFUNCTION("IMPORTRANGE(""https://docs.google.com/spreadsheets/d/1QqKyyYR6Q21VydFLVH3TRQUabQu_ym0Zz7PgGX0-kHA/edit?usp=sharing"",""แผน!JJ84"")"),0)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IFERROR(__xludf.DUMMYFUNCTION("IMPORTRANGE(""https://docs.google.com/spreadsheets/d/1QqKyyYR6Q21VydFLVH3TRQUabQu_ym0Zz7PgGX0-kHA/edit?usp=sharing"",""แผน!JN84"")"),0)</f>
        <v>0</v>
      </c>
      <c r="J800" s="161">
        <f ca="1">IFERROR(__xludf.DUMMYFUNCTION("IMPORTRANGE(""https://docs.google.com/spreadsheets/d/1MaWodYyGHDf7siQLGxnXhG4mBNTNIuy296niS2xXulU/edit?usp=sharing"",""RTK!H84"")"),0)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IFERROR(__xludf.DUMMYFUNCTION("IMPORTRANGE(""https://docs.google.com/spreadsheets/d/1MaWodYyGHDf7siQLGxnXhG4mBNTNIuy296niS2xXulU/edit?usp=sharing"",""RTK!I84"")"),0)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341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37">
        <f ca="1">IFERROR(__xludf.DUMMYFUNCTION("IMPORTRANGE(""https://docs.google.com/spreadsheets/d/19vJNZY_5yjcGF2XGBMNZRCAIB0Kwfpjp8YEOfu-bneM/edit?usp=sharing"",""งานกองทุน!F84"")"),528049.75)</f>
        <v>528049.75</v>
      </c>
      <c r="K821" s="38">
        <f t="shared" ref="K821:K828" ca="1" si="335">IF(I821&gt;0,J821*100/I821,0)</f>
        <v>71.017236693736606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IFERROR(__xludf.DUMMYFUNCTION("IMPORTRANGE(""https://docs.google.com/spreadsheets/d/19vJNZY_5yjcGF2XGBMNZRCAIB0Kwfpjp8YEOfu-bneM/edit?usp=sharing"",""งานกองทุน!C84"")"),68)</f>
        <v>68</v>
      </c>
      <c r="J822" s="37">
        <f ca="1">IFERROR(__xludf.DUMMYFUNCTION("IMPORTRANGE(""https://docs.google.com/spreadsheets/d/19vJNZY_5yjcGF2XGBMNZRCAIB0Kwfpjp8YEOfu-bneM/edit?usp=sharing"",""งานกองทุน!E84"")"),54)</f>
        <v>54</v>
      </c>
      <c r="K822" s="38">
        <f t="shared" ca="1" si="335"/>
        <v>79.411764705882348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IFERROR(__xludf.DUMMYFUNCTION("IMPORTRANGE(""https://docs.google.com/spreadsheets/d/19vJNZY_5yjcGF2XGBMNZRCAIB0Kwfpjp8YEOfu-bneM/edit?usp=sharing"",""งานกองทุน!I84"")"),35881.65)</f>
        <v>35881.65</v>
      </c>
      <c r="J823" s="37">
        <f ca="1">IFERROR(__xludf.DUMMYFUNCTION("IMPORTRANGE(""https://docs.google.com/spreadsheets/d/19vJNZY_5yjcGF2XGBMNZRCAIB0Kwfpjp8YEOfu-bneM/edit?usp=sharing"",""งานกองทุน!K84"")"),26751.11)</f>
        <v>26751.11</v>
      </c>
      <c r="K823" s="38">
        <f t="shared" ca="1" si="335"/>
        <v>74.553734290368467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IFERROR(__xludf.DUMMYFUNCTION("IMPORTRANGE(""https://docs.google.com/spreadsheets/d/19vJNZY_5yjcGF2XGBMNZRCAIB0Kwfpjp8YEOfu-bneM/edit?usp=sharing"",""งานกองทุน!H84"")"),2)</f>
        <v>2</v>
      </c>
      <c r="J824" s="37">
        <f ca="1">IFERROR(__xludf.DUMMYFUNCTION("IMPORTRANGE(""https://docs.google.com/spreadsheets/d/19vJNZY_5yjcGF2XGBMNZRCAIB0Kwfpjp8YEOfu-bneM/edit?usp=sharing"",""งานกองทุน!J84"")"),2)</f>
        <v>2</v>
      </c>
      <c r="K824" s="38">
        <f t="shared" ca="1" si="335"/>
        <v>100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IFERROR(__xludf.DUMMYFUNCTION("IMPORTRANGE(""https://docs.google.com/spreadsheets/d/19vJNZY_5yjcGF2XGBMNZRCAIB0Kwfpjp8YEOfu-bneM/edit?usp=sharing"",""งานกองทุน!N84"")"),58877.9)</f>
        <v>58877.9</v>
      </c>
      <c r="J825" s="37">
        <f ca="1">IFERROR(__xludf.DUMMYFUNCTION("IMPORTRANGE(""https://docs.google.com/spreadsheets/d/19vJNZY_5yjcGF2XGBMNZRCAIB0Kwfpjp8YEOfu-bneM/edit?usp=sharing"",""งานกองทุน!P84"")"),31309.25)</f>
        <v>31309.25</v>
      </c>
      <c r="K825" s="38">
        <f t="shared" ca="1" si="335"/>
        <v>53.17657389275093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IFERROR(__xludf.DUMMYFUNCTION("IMPORTRANGE(""https://docs.google.com/spreadsheets/d/19vJNZY_5yjcGF2XGBMNZRCAIB0Kwfpjp8YEOfu-bneM/edit?usp=sharing"",""งานกองทุน!M84"")"),149)</f>
        <v>149</v>
      </c>
      <c r="J826" s="37">
        <f ca="1">IFERROR(__xludf.DUMMYFUNCTION("IMPORTRANGE(""https://docs.google.com/spreadsheets/d/19vJNZY_5yjcGF2XGBMNZRCAIB0Kwfpjp8YEOfu-bneM/edit?usp=sharing"",""งานกองทุน!O84"")"),84)</f>
        <v>84</v>
      </c>
      <c r="K826" s="38">
        <f t="shared" ca="1" si="335"/>
        <v>56.375838926174495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IFERROR(__xludf.DUMMYFUNCTION("IMPORTRANGE(""https://docs.google.com/spreadsheets/d/19vJNZY_5yjcGF2XGBMNZRCAIB0Kwfpjp8YEOfu-bneM/edit?usp=sharing"",""งานกองทุน!S84"")"),300000)</f>
        <v>300000</v>
      </c>
      <c r="J827" s="37">
        <f ca="1">IFERROR(__xludf.DUMMYFUNCTION("IMPORTRANGE(""https://docs.google.com/spreadsheets/d/19vJNZY_5yjcGF2XGBMNZRCAIB0Kwfpjp8YEOfu-bneM/edit?usp=sharing"",""งานกองทุน!U84"")"),300000)</f>
        <v>300000</v>
      </c>
      <c r="K827" s="38">
        <f t="shared" ca="1" si="335"/>
        <v>100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IFERROR(__xludf.DUMMYFUNCTION("IMPORTRANGE(""https://docs.google.com/spreadsheets/d/19vJNZY_5yjcGF2XGBMNZRCAIB0Kwfpjp8YEOfu-bneM/edit?usp=sharing"",""งานกองทุน!R84"")"),12)</f>
        <v>12</v>
      </c>
      <c r="J828" s="365">
        <f ca="1">IFERROR(__xludf.DUMMYFUNCTION("IMPORTRANGE(""https://docs.google.com/spreadsheets/d/19vJNZY_5yjcGF2XGBMNZRCAIB0Kwfpjp8YEOfu-bneM/edit?usp=sharing"",""งานกองทุน!T84"")"),6)</f>
        <v>6</v>
      </c>
      <c r="K828" s="475">
        <f t="shared" ca="1" si="335"/>
        <v>50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849E1-387A-4C30-9A4F-C344E08CCE7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350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3915568</v>
      </c>
      <c r="M8" s="22">
        <f t="shared" ca="1" si="0"/>
        <v>4054521.94</v>
      </c>
      <c r="N8" s="22">
        <f t="shared" ca="1" si="0"/>
        <v>2800386.6799999997</v>
      </c>
      <c r="O8" s="22">
        <f t="shared" ref="O8:O16" ca="1" si="1">IF(L8&gt;0,N8*100/L8,0)</f>
        <v>71.51929630643626</v>
      </c>
      <c r="P8" s="22">
        <f t="shared" ref="P8:P16" ca="1" si="2">IF(M8&gt;0,N8*100/M8,0)</f>
        <v>69.068233479580087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3915568</v>
      </c>
      <c r="M10" s="30">
        <f t="shared" ca="1" si="3"/>
        <v>4054521.94</v>
      </c>
      <c r="N10" s="30">
        <f t="shared" ca="1" si="3"/>
        <v>2800386.6799999997</v>
      </c>
      <c r="O10" s="30">
        <f t="shared" ca="1" si="1"/>
        <v>71.51929630643626</v>
      </c>
      <c r="P10" s="30">
        <f t="shared" ca="1" si="2"/>
        <v>69.068233479580087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3869568</v>
      </c>
      <c r="M11" s="38">
        <f t="shared" ca="1" si="4"/>
        <v>3990921.94</v>
      </c>
      <c r="N11" s="38">
        <f t="shared" ca="1" si="4"/>
        <v>2754386.6799999997</v>
      </c>
      <c r="O11" s="38">
        <f t="shared" ca="1" si="1"/>
        <v>71.180728184644906</v>
      </c>
      <c r="P11" s="38">
        <f t="shared" ca="1" si="2"/>
        <v>69.016300529295748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3869568</v>
      </c>
      <c r="M13" s="45">
        <f t="shared" ca="1" si="5"/>
        <v>3990921.94</v>
      </c>
      <c r="N13" s="45">
        <f t="shared" ca="1" si="5"/>
        <v>2754386.6799999997</v>
      </c>
      <c r="O13" s="45">
        <f t="shared" ca="1" si="1"/>
        <v>71.180728184644906</v>
      </c>
      <c r="P13" s="45">
        <f t="shared" ca="1" si="2"/>
        <v>69.016300529295748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46000</v>
      </c>
      <c r="M14" s="38">
        <f t="shared" ca="1" si="6"/>
        <v>63600</v>
      </c>
      <c r="N14" s="38">
        <f t="shared" ca="1" si="6"/>
        <v>46000</v>
      </c>
      <c r="O14" s="38">
        <f t="shared" ca="1" si="1"/>
        <v>100</v>
      </c>
      <c r="P14" s="38">
        <f t="shared" ca="1" si="2"/>
        <v>72.327044025157235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63600</v>
      </c>
      <c r="N16" s="52">
        <f t="shared" ca="1" si="7"/>
        <v>46000</v>
      </c>
      <c r="O16" s="52">
        <f t="shared" ca="1" si="1"/>
        <v>100</v>
      </c>
      <c r="P16" s="52">
        <f t="shared" ca="1" si="2"/>
        <v>72.327044025157235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2354543.94</v>
      </c>
      <c r="N18" s="22">
        <f t="shared" ca="1" si="8"/>
        <v>1821728.01</v>
      </c>
      <c r="O18" s="22">
        <f t="shared" ref="O18:O26" ca="1" si="9">IF(L18&gt;0,N18*100/L18,0)</f>
        <v>82.223155457462795</v>
      </c>
      <c r="P18" s="22">
        <f t="shared" ref="P18:P26" ca="1" si="10">IF(M18&gt;0,N18*100/M18,0)</f>
        <v>77.370737451601769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2354543.94</v>
      </c>
      <c r="N20" s="30">
        <f t="shared" ca="1" si="11"/>
        <v>1821728.01</v>
      </c>
      <c r="O20" s="30">
        <f t="shared" ca="1" si="9"/>
        <v>82.223155457462795</v>
      </c>
      <c r="P20" s="30">
        <f t="shared" ca="1" si="10"/>
        <v>77.370737451601769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2169590</v>
      </c>
      <c r="M21" s="38">
        <f t="shared" ca="1" si="12"/>
        <v>2290943.94</v>
      </c>
      <c r="N21" s="38">
        <f t="shared" ca="1" si="12"/>
        <v>1775728.01</v>
      </c>
      <c r="O21" s="38">
        <f t="shared" ca="1" si="9"/>
        <v>81.846247908591025</v>
      </c>
      <c r="P21" s="38">
        <f t="shared" ca="1" si="10"/>
        <v>77.510757858177882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2169590</v>
      </c>
      <c r="M23" s="45">
        <f t="shared" ca="1" si="13"/>
        <v>2290943.94</v>
      </c>
      <c r="N23" s="45">
        <f t="shared" ca="1" si="13"/>
        <v>1775728.01</v>
      </c>
      <c r="O23" s="45">
        <f t="shared" ca="1" si="9"/>
        <v>81.846247908591025</v>
      </c>
      <c r="P23" s="45">
        <f t="shared" ca="1" si="10"/>
        <v>77.510757858177882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46000</v>
      </c>
      <c r="M24" s="38">
        <f t="shared" ca="1" si="14"/>
        <v>63600</v>
      </c>
      <c r="N24" s="38">
        <f t="shared" ca="1" si="14"/>
        <v>46000</v>
      </c>
      <c r="O24" s="38">
        <f t="shared" ca="1" si="9"/>
        <v>100</v>
      </c>
      <c r="P24" s="38">
        <f t="shared" ca="1" si="10"/>
        <v>72.327044025157235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63600</v>
      </c>
      <c r="N26" s="52">
        <f t="shared" ca="1" si="15"/>
        <v>46000</v>
      </c>
      <c r="O26" s="52">
        <f t="shared" ca="1" si="9"/>
        <v>100</v>
      </c>
      <c r="P26" s="52">
        <f t="shared" ca="1" si="10"/>
        <v>72.327044025157235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1699978</v>
      </c>
      <c r="M28" s="22">
        <f t="shared" ca="1" si="16"/>
        <v>1699978</v>
      </c>
      <c r="N28" s="22">
        <f t="shared" si="16"/>
        <v>978658.66999999993</v>
      </c>
      <c r="O28" s="22">
        <f t="shared" ref="O28:O37" ca="1" si="17">IF(L28&gt;0,N28*100/L28,0)</f>
        <v>57.568902068144411</v>
      </c>
      <c r="P28" s="22">
        <f t="shared" ref="P28:P37" ca="1" si="18">IF(M28&gt;0,N28*100/M28,0)</f>
        <v>57.568902068144411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1699978</v>
      </c>
      <c r="M30" s="30">
        <f t="shared" ca="1" si="19"/>
        <v>1699978</v>
      </c>
      <c r="N30" s="30">
        <f t="shared" si="19"/>
        <v>978658.66999999993</v>
      </c>
      <c r="O30" s="30">
        <f t="shared" ca="1" si="17"/>
        <v>57.568902068144411</v>
      </c>
      <c r="P30" s="30">
        <f t="shared" ca="1" si="18"/>
        <v>57.568902068144411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1699978</v>
      </c>
      <c r="M31" s="38">
        <f t="shared" ca="1" si="20"/>
        <v>1699978</v>
      </c>
      <c r="N31" s="38">
        <f t="shared" si="20"/>
        <v>978658.66999999993</v>
      </c>
      <c r="O31" s="38">
        <f t="shared" ca="1" si="17"/>
        <v>57.568902068144411</v>
      </c>
      <c r="P31" s="38">
        <f t="shared" ca="1" si="18"/>
        <v>57.568902068144411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1699978</v>
      </c>
      <c r="M33" s="45">
        <f t="shared" ca="1" si="21"/>
        <v>1699978</v>
      </c>
      <c r="N33" s="45">
        <f t="shared" si="21"/>
        <v>978658.66999999993</v>
      </c>
      <c r="O33" s="45">
        <f t="shared" ca="1" si="17"/>
        <v>57.568902068144411</v>
      </c>
      <c r="P33" s="45">
        <f t="shared" ca="1" si="18"/>
        <v>57.568902068144411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2215590</v>
      </c>
      <c r="M37" s="792">
        <f t="shared" ca="1" si="24"/>
        <v>2354543.94</v>
      </c>
      <c r="N37" s="792">
        <f t="shared" ca="1" si="24"/>
        <v>1821728.01</v>
      </c>
      <c r="O37" s="833">
        <f t="shared" ca="1" si="17"/>
        <v>82.223155457462795</v>
      </c>
      <c r="P37" s="834">
        <f t="shared" ca="1" si="18"/>
        <v>77.370737451601769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254393.94</v>
      </c>
      <c r="N41" s="85">
        <f t="shared" ca="1" si="25"/>
        <v>214393.94</v>
      </c>
      <c r="O41" s="85">
        <f t="shared" ref="O41:O49" ca="1" si="26">IF(L41&gt;0,N41*100/L41,0)</f>
        <v>110.74067148760331</v>
      </c>
      <c r="P41" s="85">
        <f t="shared" ref="P41:P49" ca="1" si="27">IF(M41&gt;0,N41*100/M41,0)</f>
        <v>84.27635501065788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254393.94</v>
      </c>
      <c r="N43" s="92">
        <f t="shared" ca="1" si="28"/>
        <v>214393.94</v>
      </c>
      <c r="O43" s="92">
        <f t="shared" ca="1" si="26"/>
        <v>110.74067148760331</v>
      </c>
      <c r="P43" s="92">
        <f t="shared" ca="1" si="27"/>
        <v>84.27635501065788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193600</v>
      </c>
      <c r="M44" s="38">
        <f t="shared" ca="1" si="29"/>
        <v>254393.94</v>
      </c>
      <c r="N44" s="38">
        <f t="shared" ca="1" si="29"/>
        <v>214393.94</v>
      </c>
      <c r="O44" s="38">
        <f t="shared" ca="1" si="26"/>
        <v>110.74067148760331</v>
      </c>
      <c r="P44" s="38">
        <f t="shared" ca="1" si="27"/>
        <v>84.27635501065788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IFERROR(__xludf.DUMMYFUNCTION("IMPORTRANGE(""https://docs.google.com/spreadsheets/d/1MeEWN-I1oV_STSDYn1IFDPWt_1FKiwhDph83XaGc0o0/edit?usp=sharing"",""งบพรบ!M85"")"),193600)</f>
        <v>193600</v>
      </c>
      <c r="M46" s="45">
        <f ca="1">IFERROR(__xludf.DUMMYFUNCTION("IMPORTRANGE(""https://docs.google.com/spreadsheets/d/1MeEWN-I1oV_STSDYn1IFDPWt_1FKiwhDph83XaGc0o0/edit?usp=sharing"",""งบพรบ!R85"")"),254393.94)</f>
        <v>254393.94</v>
      </c>
      <c r="N46" s="45">
        <f ca="1">IFERROR(__xludf.DUMMYFUNCTION("IMPORTRANGE(""https://docs.google.com/spreadsheets/d/1MeEWN-I1oV_STSDYn1IFDPWt_1FKiwhDph83XaGc0o0/edit?usp=sharing"",""งบพรบ!T85"")"),214393.94)</f>
        <v>214393.94</v>
      </c>
      <c r="O46" s="45">
        <f t="shared" ca="1" si="26"/>
        <v>110.74067148760331</v>
      </c>
      <c r="P46" s="45">
        <f t="shared" ca="1" si="27"/>
        <v>84.27635501065788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640900</v>
      </c>
      <c r="M53" s="115">
        <f t="shared" ca="1" si="31"/>
        <v>662000</v>
      </c>
      <c r="N53" s="115">
        <f t="shared" ca="1" si="31"/>
        <v>522300.74</v>
      </c>
      <c r="O53" s="115">
        <f t="shared" ref="O53:O61" ca="1" si="32">IF(L53&gt;0,N53*100/L53,0)</f>
        <v>81.49488843813387</v>
      </c>
      <c r="P53" s="115">
        <f t="shared" ref="P53:P61" ca="1" si="33">IF(M53&gt;0,N53*100/M53,0)</f>
        <v>78.897392749244716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640900</v>
      </c>
      <c r="M55" s="122">
        <f t="shared" ca="1" si="34"/>
        <v>662000</v>
      </c>
      <c r="N55" s="122">
        <f t="shared" ca="1" si="34"/>
        <v>522300.74</v>
      </c>
      <c r="O55" s="122">
        <f t="shared" ca="1" si="32"/>
        <v>81.49488843813387</v>
      </c>
      <c r="P55" s="122">
        <f t="shared" ca="1" si="33"/>
        <v>78.897392749244716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640900</v>
      </c>
      <c r="M56" s="38">
        <f t="shared" ca="1" si="35"/>
        <v>653400</v>
      </c>
      <c r="N56" s="38">
        <f t="shared" ca="1" si="35"/>
        <v>522300.74</v>
      </c>
      <c r="O56" s="38">
        <f t="shared" ca="1" si="32"/>
        <v>81.49488843813387</v>
      </c>
      <c r="P56" s="38">
        <f t="shared" ca="1" si="33"/>
        <v>79.935834098561372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IFERROR(__xludf.DUMMYFUNCTION("IMPORTRANGE(""https://docs.google.com/spreadsheets/d/1MeEWN-I1oV_STSDYn1IFDPWt_1FKiwhDph83XaGc0o0/edit?usp=sharing"",""งบพรบ!W85"")"),640900)</f>
        <v>640900</v>
      </c>
      <c r="M58" s="45">
        <f ca="1">IFERROR(__xludf.DUMMYFUNCTION("IMPORTRANGE(""https://docs.google.com/spreadsheets/d/1MeEWN-I1oV_STSDYn1IFDPWt_1FKiwhDph83XaGc0o0/edit?usp=sharing"",""งบพรบ!AB85"")"),653400)</f>
        <v>653400</v>
      </c>
      <c r="N58" s="45">
        <f ca="1">IFERROR(__xludf.DUMMYFUNCTION("IMPORTRANGE(""https://docs.google.com/spreadsheets/d/1MeEWN-I1oV_STSDYn1IFDPWt_1FKiwhDph83XaGc0o0/edit?usp=sharing"",""งบพรบ!AD85"")"),522300.74)</f>
        <v>522300.74</v>
      </c>
      <c r="O58" s="45">
        <f t="shared" ca="1" si="32"/>
        <v>81.49488843813387</v>
      </c>
      <c r="P58" s="45">
        <f t="shared" ca="1" si="33"/>
        <v>79.935834098561372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8600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IFERROR(__xludf.DUMMYFUNCTION("IMPORTRANGE(""https://docs.google.com/spreadsheets/d/1MeEWN-I1oV_STSDYn1IFDPWt_1FKiwhDph83XaGc0o0/edit?usp=sharing"",""งบพรบ!AC85"")"),8600)</f>
        <v>8600</v>
      </c>
      <c r="N61" s="52">
        <f ca="1">IFERROR(__xludf.DUMMYFUNCTION("IMPORTRANGE(""https://docs.google.com/spreadsheets/d/1MeEWN-I1oV_STSDYn1IFDPWt_1FKiwhDph83XaGc0o0/edit?usp=sharing"",""งบพรบ!AE85"")"),0)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IFERROR(__xludf.DUMMYFUNCTION("IMPORTRANGE(""https://docs.google.com/spreadsheets/d/1MeEWN-I1oV_STSDYn1IFDPWt_1FKiwhDph83XaGc0o0/edit?usp=sharing"",""งบพรบ!AG85"")"),0)</f>
        <v>0</v>
      </c>
      <c r="M71" s="45">
        <f ca="1">IFERROR(__xludf.DUMMYFUNCTION("IMPORTRANGE(""https://docs.google.com/spreadsheets/d/1MeEWN-I1oV_STSDYn1IFDPWt_1FKiwhDph83XaGc0o0/edit?usp=sharing"",""งบพรบ!AL85"")"),0)</f>
        <v>0</v>
      </c>
      <c r="N71" s="45">
        <f ca="1">IFERROR(__xludf.DUMMYFUNCTION("IMPORTRANGE(""https://docs.google.com/spreadsheets/d/1MeEWN-I1oV_STSDYn1IFDPWt_1FKiwhDph83XaGc0o0/edit?usp=sharing"",""งบพรบ!AN85"")"),0)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IFERROR(__xludf.DUMMYFUNCTION("IMPORTRANGE(""https://docs.google.com/spreadsheets/d/1MeEWN-I1oV_STSDYn1IFDPWt_1FKiwhDph83XaGc0o0/edit?usp=sharing"",""งบพรบ!AJ85"")"),0)</f>
        <v>0</v>
      </c>
      <c r="M74" s="45">
        <f ca="1">IFERROR(__xludf.DUMMYFUNCTION("IMPORTRANGE(""https://docs.google.com/spreadsheets/d/1MeEWN-I1oV_STSDYn1IFDPWt_1FKiwhDph83XaGc0o0/edit?usp=sharing"",""งบพรบ!AM85"")"),0)</f>
        <v>0</v>
      </c>
      <c r="N74" s="45">
        <f ca="1">IFERROR(__xludf.DUMMYFUNCTION("IMPORTRANGE(""https://docs.google.com/spreadsheets/d/1MeEWN-I1oV_STSDYn1IFDPWt_1FKiwhDph83XaGc0o0/edit?usp=sharing"",""งบพรบ!AO85"")"),0)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IFERROR(__xludf.DUMMYFUNCTION("IMPORTRANGE(""https://docs.google.com/spreadsheets/d/1QqKyyYR6Q21VydFLVH3TRQUabQu_ym0Zz7PgGX0-kHA/edit?usp=sharing"",""แผน!H85"")"),0)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IFERROR(__xludf.DUMMYFUNCTION("IMPORTRANGE(""https://docs.google.com/spreadsheets/d/1QqKyyYR6Q21VydFLVH3TRQUabQu_ym0Zz7PgGX0-kHA/edit?usp=sharing"",""แผน!I85"")"),0)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IFERROR(__xludf.DUMMYFUNCTION("IMPORTRANGE(""https://docs.google.com/spreadsheets/d/1QqKyyYR6Q21VydFLVH3TRQUabQu_ym0Zz7PgGX0-kHA/edit?usp=sharing"",""แผน!F85"")"),0)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IFERROR(__xludf.DUMMYFUNCTION("IMPORTRANGE(""https://docs.google.com/spreadsheets/d/1QqKyyYR6Q21VydFLVH3TRQUabQu_ym0Zz7PgGX0-kHA/edit?usp=sharing"",""แผน!G85"")"),0)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IFERROR(__xludf.DUMMYFUNCTION("IMPORTRANGE(""https://docs.google.com/spreadsheets/d/1QqKyyYR6Q21VydFLVH3TRQUabQu_ym0Zz7PgGX0-kHA/edit?usp=sharing"",""แผน!D85"")"),0)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IFERROR(__xludf.DUMMYFUNCTION("IMPORTRANGE(""https://docs.google.com/spreadsheets/d/1QqKyyYR6Q21VydFLVH3TRQUabQu_ym0Zz7PgGX0-kHA/edit?usp=sharing"",""แผน!E85"")"),0)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IFERROR(__xludf.DUMMYFUNCTION("IMPORTRANGE(""https://docs.google.com/spreadsheets/d/1QqKyyYR6Q21VydFLVH3TRQUabQu_ym0Zz7PgGX0-kHA/edit?usp=sharing"",""แผน!J85"")"),0)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376140</v>
      </c>
      <c r="M88" s="154">
        <f t="shared" ca="1" si="49"/>
        <v>376140</v>
      </c>
      <c r="N88" s="154">
        <f t="shared" ca="1" si="49"/>
        <v>319011.03999999998</v>
      </c>
      <c r="O88" s="154">
        <f t="shared" ref="O88:O96" ca="1" si="50">IF(L88&gt;0,N88*100/L88,0)</f>
        <v>84.811782846812349</v>
      </c>
      <c r="P88" s="154">
        <f t="shared" ref="P88:P96" ca="1" si="51">IF(M88&gt;0,N88*100/M88,0)</f>
        <v>84.811782846812349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376140</v>
      </c>
      <c r="M90" s="45">
        <f t="shared" ca="1" si="52"/>
        <v>376140</v>
      </c>
      <c r="N90" s="45">
        <f t="shared" ca="1" si="52"/>
        <v>319011.03999999998</v>
      </c>
      <c r="O90" s="45">
        <f t="shared" ca="1" si="50"/>
        <v>84.811782846812349</v>
      </c>
      <c r="P90" s="45">
        <f t="shared" ca="1" si="51"/>
        <v>84.811782846812349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376140</v>
      </c>
      <c r="M91" s="38">
        <f t="shared" ca="1" si="53"/>
        <v>376140</v>
      </c>
      <c r="N91" s="38">
        <f t="shared" ca="1" si="53"/>
        <v>319011.03999999998</v>
      </c>
      <c r="O91" s="38">
        <f t="shared" ca="1" si="50"/>
        <v>84.811782846812349</v>
      </c>
      <c r="P91" s="38">
        <f t="shared" ca="1" si="51"/>
        <v>84.811782846812349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IFERROR(__xludf.DUMMYFUNCTION("IMPORTRANGE(""https://docs.google.com/spreadsheets/d/1MeEWN-I1oV_STSDYn1IFDPWt_1FKiwhDph83XaGc0o0/edit?usp=sharing"",""งบพรบ!AQ85"")"),376140)</f>
        <v>376140</v>
      </c>
      <c r="M93" s="45">
        <f ca="1">IFERROR(__xludf.DUMMYFUNCTION("IMPORTRANGE(""https://docs.google.com/spreadsheets/d/1MeEWN-I1oV_STSDYn1IFDPWt_1FKiwhDph83XaGc0o0/edit?usp=sharing"",""งบพรบ!AV85"")"),376140)</f>
        <v>376140</v>
      </c>
      <c r="N93" s="45">
        <f ca="1">IFERROR(__xludf.DUMMYFUNCTION("IMPORTRANGE(""https://docs.google.com/spreadsheets/d/1MeEWN-I1oV_STSDYn1IFDPWt_1FKiwhDph83XaGc0o0/edit?usp=sharing"",""งบพรบ!AX85"")"),319011.04)</f>
        <v>319011.03999999998</v>
      </c>
      <c r="O93" s="45">
        <f t="shared" ca="1" si="50"/>
        <v>84.811782846812349</v>
      </c>
      <c r="P93" s="45">
        <f t="shared" ca="1" si="51"/>
        <v>84.811782846812349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IFERROR(__xludf.DUMMYFUNCTION("IMPORTRANGE(""https://docs.google.com/spreadsheets/d/1MeEWN-I1oV_STSDYn1IFDPWt_1FKiwhDph83XaGc0o0/edit?usp=sharing"",""งบพรบ!AT85"")"),0)</f>
        <v>0</v>
      </c>
      <c r="M96" s="45">
        <f ca="1">IFERROR(__xludf.DUMMYFUNCTION("IMPORTRANGE(""https://docs.google.com/spreadsheets/d/1MeEWN-I1oV_STSDYn1IFDPWt_1FKiwhDph83XaGc0o0/edit?usp=sharing"",""งบพรบ!AW85"")"),0)</f>
        <v>0</v>
      </c>
      <c r="N96" s="45">
        <f ca="1">IFERROR(__xludf.DUMMYFUNCTION("IMPORTRANGE(""https://docs.google.com/spreadsheets/d/1MeEWN-I1oV_STSDYn1IFDPWt_1FKiwhDph83XaGc0o0/edit?usp=sharing"",""งบพรบ!AY85"")"),0)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IFERROR(__xludf.DUMMYFUNCTION("IMPORTRANGE(""https://docs.google.com/spreadsheets/d/1QqKyyYR6Q21VydFLVH3TRQUabQu_ym0Zz7PgGX0-kHA/edit?usp=sharing"",""แผน!K85"")"),30)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IFERROR(__xludf.DUMMYFUNCTION("IMPORTRANGE(""https://docs.google.com/spreadsheets/d/1QqKyyYR6Q21VydFLVH3TRQUabQu_ym0Zz7PgGX0-kHA/edit?usp=sharing"",""แผน!L85"")"),10)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IFERROR(__xludf.DUMMYFUNCTION("IMPORTRANGE(""https://docs.google.com/spreadsheets/d/1QqKyyYR6Q21VydFLVH3TRQUabQu_ym0Zz7PgGX0-kHA/edit?usp=sharing"",""แผน!M85"")"),2)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IFERROR(__xludf.DUMMYFUNCTION("IMPORTRANGE(""https://docs.google.com/spreadsheets/d/1QqKyyYR6Q21VydFLVH3TRQUabQu_ym0Zz7PgGX0-kHA/edit?usp=sharing"",""แผน!N85"")"),30)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IFERROR(__xludf.DUMMYFUNCTION("IMPORTRANGE(""https://docs.google.com/spreadsheets/d/1QqKyyYR6Q21VydFLVH3TRQUabQu_ym0Zz7PgGX0-kHA/edit?usp=sharing"",""แผน!O85"")"),10)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IFERROR(__xludf.DUMMYFUNCTION("IMPORTRANGE(""https://docs.google.com/spreadsheets/d/1QqKyyYR6Q21VydFLVH3TRQUabQu_ym0Zz7PgGX0-kHA/edit?usp=sharing"",""แผน!O85"")"),10)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IFERROR(__xludf.DUMMYFUNCTION("IMPORTRANGE(""https://docs.google.com/spreadsheets/d/1QqKyyYR6Q21VydFLVH3TRQUabQu_ym0Zz7PgGX0-kHA/edit?usp=sharing"",""แผน!P85"")"),1)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IFERROR(__xludf.DUMMYFUNCTION("IMPORTRANGE(""https://docs.google.com/spreadsheets/d/1QqKyyYR6Q21VydFLVH3TRQUabQu_ym0Zz7PgGX0-kHA/edit?usp=sharing"",""แผน!P85"")"),1)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IFERROR(__xludf.DUMMYFUNCTION("IMPORTRANGE(""https://docs.google.com/spreadsheets/d/1QqKyyYR6Q21VydFLVH3TRQUabQu_ym0Zz7PgGX0-kHA/edit?usp=sharing"",""แผน!Q85"")"),1)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IFERROR(__xludf.DUMMYFUNCTION("IMPORTRANGE(""https://docs.google.com/spreadsheets/d/1QqKyyYR6Q21VydFLVH3TRQUabQu_ym0Zz7PgGX0-kHA/edit?usp=sharing"",""แผน!Q85"")"),1)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IFERROR(__xludf.DUMMYFUNCTION("IMPORTRANGE(""https://docs.google.com/spreadsheets/d/1QqKyyYR6Q21VydFLVH3TRQUabQu_ym0Zz7PgGX0-kHA/edit?usp=sharing"",""แผน!R85"")"),10)</f>
        <v>10</v>
      </c>
      <c r="J111" s="190">
        <f>J114</f>
        <v>10</v>
      </c>
      <c r="K111" s="191">
        <f t="shared" ca="1" si="58"/>
        <v>100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2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IFERROR(__xludf.DUMMYFUNCTION("IMPORTRANGE(""https://docs.google.com/spreadsheets/d/1QqKyyYR6Q21VydFLVH3TRQUabQu_ym0Zz7PgGX0-kHA/edit?usp=sharing"",""แผน!R85"")"),10)</f>
        <v>10</v>
      </c>
      <c r="J113" s="181">
        <v>10</v>
      </c>
      <c r="K113" s="38">
        <f t="shared" ca="1" si="58"/>
        <v>100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IFERROR(__xludf.DUMMYFUNCTION("IMPORTRANGE(""https://docs.google.com/spreadsheets/d/1QqKyyYR6Q21VydFLVH3TRQUabQu_ym0Zz7PgGX0-kHA/edit?usp=sharing"",""แผน!R85"")"),10)</f>
        <v>10</v>
      </c>
      <c r="J114" s="181">
        <v>10</v>
      </c>
      <c r="K114" s="38">
        <f t="shared" ca="1" si="58"/>
        <v>100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IFERROR(__xludf.DUMMYFUNCTION("IMPORTRANGE(""https://docs.google.com/spreadsheets/d/1QqKyyYR6Q21VydFLVH3TRQUabQu_ym0Zz7PgGX0-kHA/edit?usp=sharing"",""แผน!S85"")"),1)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IFERROR(__xludf.DUMMYFUNCTION("IMPORTRANGE(""https://docs.google.com/spreadsheets/d/1QqKyyYR6Q21VydFLVH3TRQUabQu_ym0Zz7PgGX0-kHA/edit?usp=sharing"",""แผน!T85"")"),1)</f>
        <v>1</v>
      </c>
      <c r="J116" s="181">
        <v>1</v>
      </c>
      <c r="K116" s="38">
        <f t="shared" ca="1" si="58"/>
        <v>100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IFERROR(__xludf.DUMMYFUNCTION("IMPORTRANGE(""https://docs.google.com/spreadsheets/d/1MeEWN-I1oV_STSDYn1IFDPWt_1FKiwhDph83XaGc0o0/edit?usp=sharing"",""งบพรบ!BA85"")"),0)</f>
        <v>0</v>
      </c>
      <c r="M124" s="45">
        <f ca="1">IFERROR(__xludf.DUMMYFUNCTION("IMPORTRANGE(""https://docs.google.com/spreadsheets/d/1MeEWN-I1oV_STSDYn1IFDPWt_1FKiwhDph83XaGc0o0/edit?usp=sharing"",""งบพรบ!BF85"")"),0)</f>
        <v>0</v>
      </c>
      <c r="N124" s="45">
        <f ca="1">IFERROR(__xludf.DUMMYFUNCTION("IMPORTRANGE(""https://docs.google.com/spreadsheets/d/1MeEWN-I1oV_STSDYn1IFDPWt_1FKiwhDph83XaGc0o0/edit?usp=sharing"",""งบพรบ!BH85"")"),0)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IFERROR(__xludf.DUMMYFUNCTION("IMPORTRANGE(""https://docs.google.com/spreadsheets/d/1MeEWN-I1oV_STSDYn1IFDPWt_1FKiwhDph83XaGc0o0/edit?usp=sharing"",""งบพรบ!BD85"")"),0)</f>
        <v>0</v>
      </c>
      <c r="M127" s="45">
        <f ca="1">IFERROR(__xludf.DUMMYFUNCTION("IMPORTRANGE(""https://docs.google.com/spreadsheets/d/1MeEWN-I1oV_STSDYn1IFDPWt_1FKiwhDph83XaGc0o0/edit?usp=sharing"",""งบพรบ!BG85"")"),0)</f>
        <v>0</v>
      </c>
      <c r="N127" s="45">
        <f ca="1">IFERROR(__xludf.DUMMYFUNCTION("IMPORTRANGE(""https://docs.google.com/spreadsheets/d/1MeEWN-I1oV_STSDYn1IFDPWt_1FKiwhDph83XaGc0o0/edit?usp=sharing"",""งบพรบ!BI85"")"),0)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IFERROR(__xludf.DUMMYFUNCTION("IMPORTRANGE(""https://docs.google.com/spreadsheets/d/1MeEWN-I1oV_STSDYn1IFDPWt_1FKiwhDph83XaGc0o0/edit?usp=sharing"",""งบพรบ!BK85"")"),0)</f>
        <v>0</v>
      </c>
      <c r="M137" s="45">
        <f ca="1">IFERROR(__xludf.DUMMYFUNCTION("IMPORTRANGE(""https://docs.google.com/spreadsheets/d/1MeEWN-I1oV_STSDYn1IFDPWt_1FKiwhDph83XaGc0o0/edit?usp=sharing"",""งบพรบ!BP85"")"),0)</f>
        <v>0</v>
      </c>
      <c r="N137" s="45">
        <f ca="1">IFERROR(__xludf.DUMMYFUNCTION("IMPORTRANGE(""https://docs.google.com/spreadsheets/d/1MeEWN-I1oV_STSDYn1IFDPWt_1FKiwhDph83XaGc0o0/edit?usp=sharing"",""งบพรบ!BR85"")"),0)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IFERROR(__xludf.DUMMYFUNCTION("IMPORTRANGE(""https://docs.google.com/spreadsheets/d/1MeEWN-I1oV_STSDYn1IFDPWt_1FKiwhDph83XaGc0o0/edit?usp=sharing"",""งบพรบ!BN85"")"),0)</f>
        <v>0</v>
      </c>
      <c r="M140" s="45">
        <f ca="1">IFERROR(__xludf.DUMMYFUNCTION("IMPORTRANGE(""https://docs.google.com/spreadsheets/d/1MeEWN-I1oV_STSDYn1IFDPWt_1FKiwhDph83XaGc0o0/edit?usp=sharing"",""งบพรบ!BQ85"")"),0)</f>
        <v>0</v>
      </c>
      <c r="N140" s="45">
        <f ca="1">IFERROR(__xludf.DUMMYFUNCTION("IMPORTRANGE(""https://docs.google.com/spreadsheets/d/1MeEWN-I1oV_STSDYn1IFDPWt_1FKiwhDph83XaGc0o0/edit?usp=sharing"",""งบพรบ!BS85"")"),0)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IFERROR(__xludf.DUMMYFUNCTION("IMPORTRANGE(""https://docs.google.com/spreadsheets/d/1QqKyyYR6Q21VydFLVH3TRQUabQu_ym0Zz7PgGX0-kHA/edit?usp=sharing"",""แผน!U85"")"),0)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IFERROR(__xludf.DUMMYFUNCTION("IMPORTRANGE(""https://docs.google.com/spreadsheets/d/1QqKyyYR6Q21VydFLVH3TRQUabQu_ym0Zz7PgGX0-kHA/edit?usp=sharing"",""แผน!V85"")"),0)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IFERROR(__xludf.DUMMYFUNCTION("IMPORTRANGE(""https://docs.google.com/spreadsheets/d/1QqKyyYR6Q21VydFLVH3TRQUabQu_ym0Zz7PgGX0-kHA/edit?usp=sharing"",""แผน!W85"")"),0)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IFERROR(__xludf.DUMMYFUNCTION("IMPORTRANGE(""https://docs.google.com/spreadsheets/d/1MeEWN-I1oV_STSDYn1IFDPWt_1FKiwhDph83XaGc0o0/edit?usp=sharing"",""งบพรบ!BU85"")"),0)</f>
        <v>0</v>
      </c>
      <c r="M154" s="45">
        <f ca="1">IFERROR(__xludf.DUMMYFUNCTION("IMPORTRANGE(""https://docs.google.com/spreadsheets/d/1MeEWN-I1oV_STSDYn1IFDPWt_1FKiwhDph83XaGc0o0/edit?usp=sharing"",""งบพรบ!BZ85"")"),0)</f>
        <v>0</v>
      </c>
      <c r="N154" s="45">
        <f ca="1">IFERROR(__xludf.DUMMYFUNCTION("IMPORTRANGE(""https://docs.google.com/spreadsheets/d/1MeEWN-I1oV_STSDYn1IFDPWt_1FKiwhDph83XaGc0o0/edit?usp=sharing"",""งบพรบ!CB85"")"),0)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IFERROR(__xludf.DUMMYFUNCTION("IMPORTRANGE(""https://docs.google.com/spreadsheets/d/1MeEWN-I1oV_STSDYn1IFDPWt_1FKiwhDph83XaGc0o0/edit?usp=sharing"",""งบพรบ!BX85"")"),0)</f>
        <v>0</v>
      </c>
      <c r="M157" s="45">
        <f ca="1">IFERROR(__xludf.DUMMYFUNCTION("IMPORTRANGE(""https://docs.google.com/spreadsheets/d/1MeEWN-I1oV_STSDYn1IFDPWt_1FKiwhDph83XaGc0o0/edit?usp=sharing"",""งบพรบ!CA85"")"),0)</f>
        <v>0</v>
      </c>
      <c r="N157" s="45">
        <f ca="1">IFERROR(__xludf.DUMMYFUNCTION("IMPORTRANGE(""https://docs.google.com/spreadsheets/d/1MeEWN-I1oV_STSDYn1IFDPWt_1FKiwhDph83XaGc0o0/edit?usp=sharing"",""งบพรบ!CC85"")"),0)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IFERROR(__xludf.DUMMYFUNCTION("IMPORTRANGE(""https://docs.google.com/spreadsheets/d/1QqKyyYR6Q21VydFLVH3TRQUabQu_ym0Zz7PgGX0-kHA/edit?usp=sharing"",""แผน!X85"")"),0)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36610</v>
      </c>
      <c r="N165" s="154">
        <f t="shared" ca="1" si="84"/>
        <v>36610</v>
      </c>
      <c r="O165" s="154">
        <f t="shared" ref="O165:O173" ca="1" si="85">IF(L165&gt;0,N165*100/L165,0)</f>
        <v>173.91923990498813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36610</v>
      </c>
      <c r="N167" s="45">
        <f t="shared" ca="1" si="87"/>
        <v>36610</v>
      </c>
      <c r="O167" s="45">
        <f t="shared" ca="1" si="85"/>
        <v>173.91923990498813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36610</v>
      </c>
      <c r="N168" s="38">
        <f t="shared" ca="1" si="88"/>
        <v>36610</v>
      </c>
      <c r="O168" s="38">
        <f t="shared" ca="1" si="85"/>
        <v>173.91923990498813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IFERROR(__xludf.DUMMYFUNCTION("IMPORTRANGE(""https://docs.google.com/spreadsheets/d/1MeEWN-I1oV_STSDYn1IFDPWt_1FKiwhDph83XaGc0o0/edit?usp=sharing"",""งบพรบ!CE85"")"),21050)</f>
        <v>21050</v>
      </c>
      <c r="M170" s="45">
        <f ca="1">IFERROR(__xludf.DUMMYFUNCTION("IMPORTRANGE(""https://docs.google.com/spreadsheets/d/1MeEWN-I1oV_STSDYn1IFDPWt_1FKiwhDph83XaGc0o0/edit?usp=sharing"",""งบพรบ!CJ85"")"),36610)</f>
        <v>36610</v>
      </c>
      <c r="N170" s="45">
        <f ca="1">IFERROR(__xludf.DUMMYFUNCTION("IMPORTRANGE(""https://docs.google.com/spreadsheets/d/1MeEWN-I1oV_STSDYn1IFDPWt_1FKiwhDph83XaGc0o0/edit?usp=sharing"",""งบพรบ!CL85"")"),36610)</f>
        <v>36610</v>
      </c>
      <c r="O170" s="45">
        <f t="shared" ca="1" si="85"/>
        <v>173.91923990498813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IFERROR(__xludf.DUMMYFUNCTION("IMPORTRANGE(""https://docs.google.com/spreadsheets/d/1MeEWN-I1oV_STSDYn1IFDPWt_1FKiwhDph83XaGc0o0/edit?usp=sharing"",""งบพรบ!CH85"")"),0)</f>
        <v>0</v>
      </c>
      <c r="M173" s="45">
        <f ca="1">IFERROR(__xludf.DUMMYFUNCTION("IMPORTRANGE(""https://docs.google.com/spreadsheets/d/1MeEWN-I1oV_STSDYn1IFDPWt_1FKiwhDph83XaGc0o0/edit?usp=sharing"",""งบพรบ!CK85"")"),0)</f>
        <v>0</v>
      </c>
      <c r="N173" s="45">
        <f ca="1">IFERROR(__xludf.DUMMYFUNCTION("IMPORTRANGE(""https://docs.google.com/spreadsheets/d/1MeEWN-I1oV_STSDYn1IFDPWt_1FKiwhDph83XaGc0o0/edit?usp=sharing"",""งบพรบ!CM85"")"),0)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IFERROR(__xludf.DUMMYFUNCTION("IMPORTRANGE(""https://docs.google.com/spreadsheets/d/1QqKyyYR6Q21VydFLVH3TRQUabQu_ym0Zz7PgGX0-kHA/edit?usp=sharing"",""แผน!Y85"")"),10)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182100</v>
      </c>
      <c r="M181" s="154">
        <f t="shared" ca="1" si="92"/>
        <v>182100</v>
      </c>
      <c r="N181" s="154">
        <f t="shared" ca="1" si="92"/>
        <v>126675</v>
      </c>
      <c r="O181" s="154">
        <f t="shared" ref="O181:O189" ca="1" si="93">IF(L181&gt;0,N181*100/L181,0)</f>
        <v>69.563426688632617</v>
      </c>
      <c r="P181" s="154">
        <f t="shared" ref="P181:P189" ca="1" si="94">IF(M181&gt;0,N181*100/M181,0)</f>
        <v>69.563426688632617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182100</v>
      </c>
      <c r="M183" s="45">
        <f t="shared" ca="1" si="95"/>
        <v>182100</v>
      </c>
      <c r="N183" s="45">
        <f t="shared" ca="1" si="95"/>
        <v>126675</v>
      </c>
      <c r="O183" s="45">
        <f t="shared" ca="1" si="93"/>
        <v>69.563426688632617</v>
      </c>
      <c r="P183" s="45">
        <f t="shared" ca="1" si="94"/>
        <v>69.563426688632617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182100</v>
      </c>
      <c r="M184" s="38">
        <f t="shared" ca="1" si="96"/>
        <v>182100</v>
      </c>
      <c r="N184" s="38">
        <f t="shared" ca="1" si="96"/>
        <v>126675</v>
      </c>
      <c r="O184" s="38">
        <f t="shared" ca="1" si="93"/>
        <v>69.563426688632617</v>
      </c>
      <c r="P184" s="38">
        <f t="shared" ca="1" si="94"/>
        <v>69.563426688632617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IFERROR(__xludf.DUMMYFUNCTION("IMPORTRANGE(""https://docs.google.com/spreadsheets/d/1MeEWN-I1oV_STSDYn1IFDPWt_1FKiwhDph83XaGc0o0/edit?usp=sharing"",""งบพรบ!CO85"")"),182100)</f>
        <v>182100</v>
      </c>
      <c r="M186" s="45">
        <f ca="1">IFERROR(__xludf.DUMMYFUNCTION("IMPORTRANGE(""https://docs.google.com/spreadsheets/d/1MeEWN-I1oV_STSDYn1IFDPWt_1FKiwhDph83XaGc0o0/edit?usp=sharing"",""งบพรบ!CT85"")"),182100)</f>
        <v>182100</v>
      </c>
      <c r="N186" s="45">
        <f ca="1">IFERROR(__xludf.DUMMYFUNCTION("IMPORTRANGE(""https://docs.google.com/spreadsheets/d/1MeEWN-I1oV_STSDYn1IFDPWt_1FKiwhDph83XaGc0o0/edit?usp=sharing"",""งบพรบ!CV85"")"),126675)</f>
        <v>126675</v>
      </c>
      <c r="O186" s="45">
        <f t="shared" ca="1" si="93"/>
        <v>69.563426688632617</v>
      </c>
      <c r="P186" s="45">
        <f t="shared" ca="1" si="94"/>
        <v>69.563426688632617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IFERROR(__xludf.DUMMYFUNCTION("IMPORTRANGE(""https://docs.google.com/spreadsheets/d/1MeEWN-I1oV_STSDYn1IFDPWt_1FKiwhDph83XaGc0o0/edit?usp=sharing"",""งบพรบ!CR85"")"),0)</f>
        <v>0</v>
      </c>
      <c r="M189" s="45">
        <f ca="1">IFERROR(__xludf.DUMMYFUNCTION("IMPORTRANGE(""https://docs.google.com/spreadsheets/d/1MeEWN-I1oV_STSDYn1IFDPWt_1FKiwhDph83XaGc0o0/edit?usp=sharing"",""งบพรบ!CU85"")"),0)</f>
        <v>0</v>
      </c>
      <c r="N189" s="45">
        <f ca="1">IFERROR(__xludf.DUMMYFUNCTION("IMPORTRANGE(""https://docs.google.com/spreadsheets/d/1MeEWN-I1oV_STSDYn1IFDPWt_1FKiwhDph83XaGc0o0/edit?usp=sharing"",""งบพรบ!CW85"")"),0)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IFERROR(__xludf.DUMMYFUNCTION("IMPORTRANGE(""https://docs.google.com/spreadsheets/d/1QqKyyYR6Q21VydFLVH3TRQUabQu_ym0Zz7PgGX0-kHA/edit?usp=sharing"",""แผน!Z85"")"),6000)</f>
        <v>6000</v>
      </c>
      <c r="M191" s="154"/>
      <c r="N191" s="264">
        <v>6000</v>
      </c>
      <c r="O191" s="154">
        <f ca="1">IF(L191&gt;0,N191*100/L191,0)</f>
        <v>100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IFERROR(__xludf.DUMMYFUNCTION("IMPORTRANGE(""https://docs.google.com/spreadsheets/d/1QqKyyYR6Q21VydFLVH3TRQUabQu_ym0Zz7PgGX0-kHA/edit?usp=sharing"",""แผน!AC85"")"),4)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178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178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IFERROR(__xludf.DUMMYFUNCTION("IMPORTRANGE(""https://docs.google.com/spreadsheets/d/1QqKyyYR6Q21VydFLVH3TRQUabQu_ym0Zz7PgGX0-kHA/edit?usp=sharing"",""แผน!AE85"")"),2000)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IFERROR(__xludf.DUMMYFUNCTION("IMPORTRANGE(""https://docs.google.com/spreadsheets/d/1QqKyyYR6Q21VydFLVH3TRQUabQu_ym0Zz7PgGX0-kHA/edit?usp=sharing"",""แผน!AF85"")"),16000)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IFERROR(__xludf.DUMMYFUNCTION("IMPORTRANGE(""https://docs.google.com/spreadsheets/d/1QqKyyYR6Q21VydFLVH3TRQUabQu_ym0Zz7PgGX0-kHA/edit?usp=sharing"",""แผน!AG85"")"),8000)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IFERROR(__xludf.DUMMYFUNCTION("IMPORTRANGE(""https://docs.google.com/spreadsheets/d/1QqKyyYR6Q21VydFLVH3TRQUabQu_ym0Zz7PgGX0-kHA/edit?usp=sharing"",""แผน!AH85"")"),0)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IFERROR(__xludf.DUMMYFUNCTION("IMPORTRANGE(""https://docs.google.com/spreadsheets/d/1QqKyyYR6Q21VydFLVH3TRQUabQu_ym0Zz7PgGX0-kHA/edit?usp=sharing"",""แผน!AI85"")"),2)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IFERROR(__xludf.DUMMYFUNCTION("IMPORTRANGE(""https://docs.google.com/spreadsheets/d/1QqKyyYR6Q21VydFLVH3TRQUabQu_ym0Zz7PgGX0-kHA/edit?usp=sharing"",""แผน!AK85"")"),0)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IFERROR(__xludf.DUMMYFUNCTION("IMPORTRANGE(""https://docs.google.com/spreadsheets/d/1QqKyyYR6Q21VydFLVH3TRQUabQu_ym0Zz7PgGX0-kHA/edit?usp=sharing"",""แผน!AL85"")"),0)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IFERROR(__xludf.DUMMYFUNCTION("IMPORTRANGE(""https://docs.google.com/spreadsheets/d/1QqKyyYR6Q21VydFLVH3TRQUabQu_ym0Zz7PgGX0-kHA/edit?usp=sharing"",""แผน!AM85"")"),0)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IFERROR(__xludf.DUMMYFUNCTION("IMPORTRANGE(""https://docs.google.com/spreadsheets/d/1QqKyyYR6Q21VydFLVH3TRQUabQu_ym0Zz7PgGX0-kHA/edit?usp=sharing"",""แผน!AN85"")"),0)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IFERROR(__xludf.DUMMYFUNCTION("IMPORTRANGE(""https://docs.google.com/spreadsheets/d/1QqKyyYR6Q21VydFLVH3TRQUabQu_ym0Zz7PgGX0-kHA/edit?usp=sharing"",""แผน!AN85"")"),0)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12800</v>
      </c>
      <c r="J216" s="260">
        <f t="shared" si="103"/>
        <v>12800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7100</v>
      </c>
      <c r="M217" s="154"/>
      <c r="N217" s="154">
        <f>N218+N219+N220</f>
        <v>7100</v>
      </c>
      <c r="O217" s="154">
        <f ca="1">IF(L217&gt;0,N217*100/L217,0)</f>
        <v>100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IFERROR(__xludf.DUMMYFUNCTION("IMPORTRANGE(""https://docs.google.com/spreadsheets/d/1QqKyyYR6Q21VydFLVH3TRQUabQu_ym0Zz7PgGX0-kHA/edit?usp=sharing"",""แผน!AP85"")"),3000)</f>
        <v>3000</v>
      </c>
      <c r="M218" s="38"/>
      <c r="N218" s="270">
        <v>3000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IFERROR(__xludf.DUMMYFUNCTION("IMPORTRANGE(""https://docs.google.com/spreadsheets/d/1QqKyyYR6Q21VydFLVH3TRQUabQu_ym0Zz7PgGX0-kHA/edit?usp=sharing"",""แผน!AQ85"")"),4100)</f>
        <v>4100</v>
      </c>
      <c r="M219" s="38"/>
      <c r="N219" s="270">
        <v>4100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IFERROR(__xludf.DUMMYFUNCTION("IMPORTRANGE(""https://docs.google.com/spreadsheets/d/1QqKyyYR6Q21VydFLVH3TRQUabQu_ym0Zz7PgGX0-kHA/edit?usp=sharing"",""แผน!AR85"")"),0)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IFERROR(__xludf.DUMMYFUNCTION("IMPORTRANGE(""https://docs.google.com/spreadsheets/d/1QqKyyYR6Q21VydFLVH3TRQUabQu_ym0Zz7PgGX0-kHA/edit?usp=sharing"",""แผน!AT85"")"),12800)</f>
        <v>12800</v>
      </c>
      <c r="J223" s="181">
        <v>12800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IFERROR(__xludf.DUMMYFUNCTION("IMPORTRANGE(""https://docs.google.com/spreadsheets/d/1QqKyyYR6Q21VydFLVH3TRQUabQu_ym0Zz7PgGX0-kHA/edit?usp=sharing"",""แผน!AT85"")"),12800)</f>
        <v>12800</v>
      </c>
      <c r="J224" s="181">
        <v>12800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IFERROR(__xludf.DUMMYFUNCTION("IMPORTRANGE(""https://docs.google.com/spreadsheets/d/1QqKyyYR6Q21VydFLVH3TRQUabQu_ym0Zz7PgGX0-kHA/edit?usp=sharing"",""แผน!AS85"")"),0)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IFERROR(__xludf.DUMMYFUNCTION("IMPORTRANGE(""https://docs.google.com/spreadsheets/d/1QqKyyYR6Q21VydFLVH3TRQUabQu_ym0Zz7PgGX0-kHA/edit?usp=sharing"",""แผน!AV85"")"),0)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IFERROR(__xludf.DUMMYFUNCTION("IMPORTRANGE(""https://docs.google.com/spreadsheets/d/1QqKyyYR6Q21VydFLVH3TRQUabQu_ym0Zz7PgGX0-kHA/edit?usp=sharing"",""แผน!AW85"")"),0)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IFERROR(__xludf.DUMMYFUNCTION("IMPORTRANGE(""https://docs.google.com/spreadsheets/d/1QqKyyYR6Q21VydFLVH3TRQUabQu_ym0Zz7PgGX0-kHA/edit?usp=sharing"",""แผน!AX85"")"),0)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IFERROR(__xludf.DUMMYFUNCTION("IMPORTRANGE(""https://docs.google.com/spreadsheets/d/1QqKyyYR6Q21VydFLVH3TRQUabQu_ym0Zz7PgGX0-kHA/edit?usp=sharing"",""แผน!AY85"")"),0)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IFERROR(__xludf.DUMMYFUNCTION("IMPORTRANGE(""https://docs.google.com/spreadsheets/d/1QqKyyYR6Q21VydFLVH3TRQUabQu_ym0Zz7PgGX0-kHA/edit?usp=sharing"",""แผน!BE85"")"),0)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IFERROR(__xludf.DUMMYFUNCTION("IMPORTRANGE(""https://docs.google.com/spreadsheets/d/1QqKyyYR6Q21VydFLVH3TRQUabQu_ym0Zz7PgGX0-kHA/edit?usp=sharing"",""แผน!AZ85"")"),0)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IFERROR(__xludf.DUMMYFUNCTION("IMPORTRANGE(""https://docs.google.com/spreadsheets/d/1QqKyyYR6Q21VydFLVH3TRQUabQu_ym0Zz7PgGX0-kHA/edit?usp=sharing"",""แผน!BA85"")"),0)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IFERROR(__xludf.DUMMYFUNCTION("IMPORTRANGE(""https://docs.google.com/spreadsheets/d/1QqKyyYR6Q21VydFLVH3TRQUabQu_ym0Zz7PgGX0-kHA/edit?usp=sharing"",""แผน!BB85"")"),0)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IFERROR(__xludf.DUMMYFUNCTION("IMPORTRANGE(""https://docs.google.com/spreadsheets/d/1QqKyyYR6Q21VydFLVH3TRQUabQu_ym0Zz7PgGX0-kHA/edit?usp=sharing"",""แผน!BC85"")"),0)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IFERROR(__xludf.DUMMYFUNCTION("IMPORTRANGE(""https://docs.google.com/spreadsheets/d/1QqKyyYR6Q21VydFLVH3TRQUabQu_ym0Zz7PgGX0-kHA/edit?usp=sharing"",""แผน!BF85"")"),0)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18</v>
      </c>
      <c r="J260" s="242">
        <f t="shared" si="115"/>
        <v>18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23100</v>
      </c>
      <c r="M261" s="154">
        <f t="shared" ca="1" si="116"/>
        <v>23100</v>
      </c>
      <c r="N261" s="154">
        <f t="shared" ca="1" si="116"/>
        <v>16700</v>
      </c>
      <c r="O261" s="154">
        <f t="shared" ref="O261:O269" ca="1" si="117">IF(L261&gt;0,N261*100/L261,0)</f>
        <v>72.294372294372295</v>
      </c>
      <c r="P261" s="154">
        <f t="shared" ref="P261:P269" ca="1" si="118">IF(M261&gt;0,N261*100/M261,0)</f>
        <v>72.294372294372295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23100</v>
      </c>
      <c r="M263" s="45">
        <f t="shared" ca="1" si="119"/>
        <v>23100</v>
      </c>
      <c r="N263" s="45">
        <f t="shared" ca="1" si="119"/>
        <v>16700</v>
      </c>
      <c r="O263" s="45">
        <f t="shared" ca="1" si="117"/>
        <v>72.294372294372295</v>
      </c>
      <c r="P263" s="45">
        <f t="shared" ca="1" si="118"/>
        <v>72.294372294372295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23100</v>
      </c>
      <c r="M264" s="38">
        <f t="shared" ca="1" si="120"/>
        <v>23100</v>
      </c>
      <c r="N264" s="38">
        <f t="shared" ca="1" si="120"/>
        <v>16700</v>
      </c>
      <c r="O264" s="38">
        <f t="shared" ca="1" si="117"/>
        <v>72.294372294372295</v>
      </c>
      <c r="P264" s="38">
        <f t="shared" ca="1" si="118"/>
        <v>72.294372294372295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IFERROR(__xludf.DUMMYFUNCTION("IMPORTRANGE(""https://docs.google.com/spreadsheets/d/1MeEWN-I1oV_STSDYn1IFDPWt_1FKiwhDph83XaGc0o0/edit?usp=sharing"",""งบพรบ!CY85"")"),23100)</f>
        <v>23100</v>
      </c>
      <c r="M266" s="45">
        <f ca="1">IFERROR(__xludf.DUMMYFUNCTION("IMPORTRANGE(""https://docs.google.com/spreadsheets/d/1MeEWN-I1oV_STSDYn1IFDPWt_1FKiwhDph83XaGc0o0/edit?usp=sharing"",""งบพรบ!DD85"")"),23100)</f>
        <v>23100</v>
      </c>
      <c r="N266" s="45">
        <f ca="1">IFERROR(__xludf.DUMMYFUNCTION("IMPORTRANGE(""https://docs.google.com/spreadsheets/d/1MeEWN-I1oV_STSDYn1IFDPWt_1FKiwhDph83XaGc0o0/edit?usp=sharing"",""งบพรบ!DF85"")"),16700)</f>
        <v>16700</v>
      </c>
      <c r="O266" s="45">
        <f t="shared" ca="1" si="117"/>
        <v>72.294372294372295</v>
      </c>
      <c r="P266" s="45">
        <f t="shared" ca="1" si="118"/>
        <v>72.294372294372295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IFERROR(__xludf.DUMMYFUNCTION("IMPORTRANGE(""https://docs.google.com/spreadsheets/d/1MeEWN-I1oV_STSDYn1IFDPWt_1FKiwhDph83XaGc0o0/edit?usp=sharing"",""งบพรบ!DB85"")"),0)</f>
        <v>0</v>
      </c>
      <c r="M269" s="45">
        <f ca="1">IFERROR(__xludf.DUMMYFUNCTION("IMPORTRANGE(""https://docs.google.com/spreadsheets/d/1MeEWN-I1oV_STSDYn1IFDPWt_1FKiwhDph83XaGc0o0/edit?usp=sharing"",""งบพรบ!DE85"")"),0)</f>
        <v>0</v>
      </c>
      <c r="N269" s="45">
        <f ca="1">IFERROR(__xludf.DUMMYFUNCTION("IMPORTRANGE(""https://docs.google.com/spreadsheets/d/1MeEWN-I1oV_STSDYn1IFDPWt_1FKiwhDph83XaGc0o0/edit?usp=sharing"",""งบพรบ!DG85"")"),0)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IFERROR(__xludf.DUMMYFUNCTION("IMPORTRANGE(""https://docs.google.com/spreadsheets/d/1QqKyyYR6Q21VydFLVH3TRQUabQu_ym0Zz7PgGX0-kHA/edit?usp=sharing"",""แผน!EA85"")"),18)</f>
        <v>18</v>
      </c>
      <c r="J271" s="181">
        <v>18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4">I287</f>
        <v>0</v>
      </c>
      <c r="J276" s="39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IFERROR(__xludf.DUMMYFUNCTION("IMPORTRANGE(""https://docs.google.com/spreadsheets/d/1MeEWN-I1oV_STSDYn1IFDPWt_1FKiwhDph83XaGc0o0/edit?usp=sharing"",""งบพรบ!DI85"")"),0)</f>
        <v>0</v>
      </c>
      <c r="M282" s="45">
        <f ca="1">IFERROR(__xludf.DUMMYFUNCTION("IMPORTRANGE(""https://docs.google.com/spreadsheets/d/1MeEWN-I1oV_STSDYn1IFDPWt_1FKiwhDph83XaGc0o0/edit?usp=sharing"",""งบพรบ!DN85"")"),0)</f>
        <v>0</v>
      </c>
      <c r="N282" s="45">
        <f ca="1">IFERROR(__xludf.DUMMYFUNCTION("IMPORTRANGE(""https://docs.google.com/spreadsheets/d/1MeEWN-I1oV_STSDYn1IFDPWt_1FKiwhDph83XaGc0o0/edit?usp=sharing"",""งบพรบ!DP85"")"),0)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IFERROR(__xludf.DUMMYFUNCTION("IMPORTRANGE(""https://docs.google.com/spreadsheets/d/1MeEWN-I1oV_STSDYn1IFDPWt_1FKiwhDph83XaGc0o0/edit?usp=sharing"",""งบพรบ!DL85"")"),0)</f>
        <v>0</v>
      </c>
      <c r="M285" s="45">
        <f ca="1">IFERROR(__xludf.DUMMYFUNCTION("IMPORTRANGE(""https://docs.google.com/spreadsheets/d/1MeEWN-I1oV_STSDYn1IFDPWt_1FKiwhDph83XaGc0o0/edit?usp=sharing"",""งบพรบ!DO85"")"),0)</f>
        <v>0</v>
      </c>
      <c r="N285" s="45">
        <f ca="1">IFERROR(__xludf.DUMMYFUNCTION("IMPORTRANGE(""https://docs.google.com/spreadsheets/d/1MeEWN-I1oV_STSDYn1IFDPWt_1FKiwhDph83XaGc0o0/edit?usp=sharing"",""งบพรบ!DQ85"")"),0)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IFERROR(__xludf.DUMMYFUNCTION("IMPORTRANGE(""https://docs.google.com/spreadsheets/d/1QqKyyYR6Q21VydFLVH3TRQUabQu_ym0Zz7PgGX0-kHA/edit?usp=sharing"",""แผน!EC85"")"),0)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IFERROR(__xludf.DUMMYFUNCTION("IMPORTRANGE(""https://docs.google.com/spreadsheets/d/1QqKyyYR6Q21VydFLVH3TRQUabQu_ym0Zz7PgGX0-kHA/edit?usp=sharing"",""แผน!EB85"")"),0)</f>
        <v>0</v>
      </c>
      <c r="J288" s="190">
        <f ca="1">IF(AND(J291&gt;=I288,J294&gt;=I288),J294,0)</f>
        <v>0</v>
      </c>
      <c r="K288" s="391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IFERROR(__xludf.DUMMYFUNCTION("IMPORTRANGE(""https://docs.google.com/spreadsheets/d/1QqKyyYR6Q21VydFLVH3TRQUabQu_ym0Zz7PgGX0-kHA/edit?usp=sharing"",""แผน!EB85"")"),0)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337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IFERROR(__xludf.DUMMYFUNCTION("IMPORTRANGE(""https://docs.google.com/spreadsheets/d/1QqKyyYR6Q21VydFLVH3TRQUabQu_ym0Zz7PgGX0-kHA/edit?usp=sharing"",""แผน!EB85"")"),0)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IFERROR(__xludf.DUMMYFUNCTION("IMPORTRANGE(""https://docs.google.com/spreadsheets/d/1QqKyyYR6Q21VydFLVH3TRQUabQu_ym0Zz7PgGX0-kHA/edit?usp=sharing"",""แผน!EB85"")"),0)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9" t="s">
        <v>337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IFERROR(__xludf.DUMMYFUNCTION("IMPORTRANGE(""https://docs.google.com/spreadsheets/d/1QqKyyYR6Q21VydFLVH3TRQUabQu_ym0Zz7PgGX0-kHA/edit?usp=sharing"",""แผน!EB85"")"),0)</f>
        <v>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IFERROR(__xludf.DUMMYFUNCTION("IMPORTRANGE(""https://docs.google.com/spreadsheets/d/1MeEWN-I1oV_STSDYn1IFDPWt_1FKiwhDph83XaGc0o0/edit?usp=sharing"",""งบพรบ!DS85"")"),0)</f>
        <v>0</v>
      </c>
      <c r="M303" s="45">
        <f ca="1">IFERROR(__xludf.DUMMYFUNCTION("IMPORTRANGE(""https://docs.google.com/spreadsheets/d/1MeEWN-I1oV_STSDYn1IFDPWt_1FKiwhDph83XaGc0o0/edit?usp=sharing"",""งบพรบ!DX85"")"),0)</f>
        <v>0</v>
      </c>
      <c r="N303" s="45">
        <f ca="1">IFERROR(__xludf.DUMMYFUNCTION("IMPORTRANGE(""https://docs.google.com/spreadsheets/d/1MeEWN-I1oV_STSDYn1IFDPWt_1FKiwhDph83XaGc0o0/edit?usp=sharing"",""งบพรบ!DZ85"")"),0)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IFERROR(__xludf.DUMMYFUNCTION("IMPORTRANGE(""https://docs.google.com/spreadsheets/d/1MeEWN-I1oV_STSDYn1IFDPWt_1FKiwhDph83XaGc0o0/edit?usp=sharing"",""งบพรบ!DV85"")"),0)</f>
        <v>0</v>
      </c>
      <c r="M306" s="45">
        <f ca="1">IFERROR(__xludf.DUMMYFUNCTION("IMPORTRANGE(""https://docs.google.com/spreadsheets/d/1MeEWN-I1oV_STSDYn1IFDPWt_1FKiwhDph83XaGc0o0/edit?usp=sharing"",""งบพรบ!DY85"")"),0)</f>
        <v>0</v>
      </c>
      <c r="N306" s="45">
        <f ca="1">IFERROR(__xludf.DUMMYFUNCTION("IMPORTRANGE(""https://docs.google.com/spreadsheets/d/1MeEWN-I1oV_STSDYn1IFDPWt_1FKiwhDph83XaGc0o0/edit?usp=sharing"",""งบพรบ!EA85"")"),0)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IFERROR(__xludf.DUMMYFUNCTION("IMPORTRANGE(""https://docs.google.com/spreadsheets/d/1QqKyyYR6Q21VydFLVH3TRQUabQu_ym0Zz7PgGX0-kHA/edit?usp=sharing"",""แผน!ED85"")"),0)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IFERROR(__xludf.DUMMYFUNCTION("IMPORTRANGE(""https://docs.google.com/spreadsheets/d/1QqKyyYR6Q21VydFLVH3TRQUabQu_ym0Zz7PgGX0-kHA/edit?usp=sharing"",""แผน!ED85"")"),0)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IFERROR(__xludf.DUMMYFUNCTION("IMPORTRANGE(""https://docs.google.com/spreadsheets/d/1QqKyyYR6Q21VydFLVH3TRQUabQu_ym0Zz7PgGX0-kHA/edit?usp=sharing"",""แผน!ED85"")"),0)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IFERROR(__xludf.DUMMYFUNCTION("IMPORTRANGE(""https://docs.google.com/spreadsheets/d/1QqKyyYR6Q21VydFLVH3TRQUabQu_ym0Zz7PgGX0-kHA/edit?usp=sharing"",""แผน!EE85"")"),0)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IFERROR(__xludf.DUMMYFUNCTION("IMPORTRANGE(""https://docs.google.com/spreadsheets/d/1MeEWN-I1oV_STSDYn1IFDPWt_1FKiwhDph83XaGc0o0/edit?usp=sharing"",""งบพรบ!EC85"")"),0)</f>
        <v>0</v>
      </c>
      <c r="M320" s="45">
        <f ca="1">IFERROR(__xludf.DUMMYFUNCTION("IMPORTRANGE(""https://docs.google.com/spreadsheets/d/1MeEWN-I1oV_STSDYn1IFDPWt_1FKiwhDph83XaGc0o0/edit?usp=sharing"",""งบพรบ!EH85"")"),0)</f>
        <v>0</v>
      </c>
      <c r="N320" s="45">
        <f ca="1">IFERROR(__xludf.DUMMYFUNCTION("IMPORTRANGE(""https://docs.google.com/spreadsheets/d/1MeEWN-I1oV_STSDYn1IFDPWt_1FKiwhDph83XaGc0o0/edit?usp=sharing"",""งบพรบ!EJ85"")"),0)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IFERROR(__xludf.DUMMYFUNCTION("IMPORTRANGE(""https://docs.google.com/spreadsheets/d/1MeEWN-I1oV_STSDYn1IFDPWt_1FKiwhDph83XaGc0o0/edit?usp=sharing"",""งบพรบ!EF85"")"),0)</f>
        <v>0</v>
      </c>
      <c r="M323" s="45">
        <f ca="1">IFERROR(__xludf.DUMMYFUNCTION("IMPORTRANGE(""https://docs.google.com/spreadsheets/d/1MeEWN-I1oV_STSDYn1IFDPWt_1FKiwhDph83XaGc0o0/edit?usp=sharing"",""งบพรบ!EI85"")"),0)</f>
        <v>0</v>
      </c>
      <c r="N323" s="45">
        <f ca="1">IFERROR(__xludf.DUMMYFUNCTION("IMPORTRANGE(""https://docs.google.com/spreadsheets/d/1MeEWN-I1oV_STSDYn1IFDPWt_1FKiwhDph83XaGc0o0/edit?usp=sharing"",""งบพรบ!EK85"")"),0)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IFERROR(__xludf.DUMMYFUNCTION("IMPORTRANGE(""https://docs.google.com/spreadsheets/d/1QqKyyYR6Q21VydFLVH3TRQUabQu_ym0Zz7PgGX0-kHA/edit?usp=sharing"",""แผน!EF85"")"),0)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IFERROR(__xludf.DUMMYFUNCTION("IMPORTRANGE(""https://docs.google.com/spreadsheets/d/1QqKyyYR6Q21VydFLVH3TRQUabQu_ym0Zz7PgGX0-kHA/edit?usp=sharing"",""แผน!EG85"")"),500)</f>
        <v>500</v>
      </c>
      <c r="J327" s="421">
        <f ca="1">J338+J341+J342+J343</f>
        <v>813</v>
      </c>
      <c r="K327" s="422">
        <f ca="1">IF(I327&gt;0,J327*100/I327,0)</f>
        <v>162.6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159000</v>
      </c>
      <c r="M328" s="154">
        <f t="shared" ca="1" si="149"/>
        <v>170500</v>
      </c>
      <c r="N328" s="154">
        <f t="shared" ca="1" si="149"/>
        <v>118646.03</v>
      </c>
      <c r="O328" s="154">
        <f t="shared" ref="O328:O336" ca="1" si="150">IF(L328&gt;0,N328*100/L328,0)</f>
        <v>74.620144654088051</v>
      </c>
      <c r="P328" s="154">
        <f t="shared" ref="P328:P336" ca="1" si="151">IF(M328&gt;0,N328*100/M328,0)</f>
        <v>69.587114369501464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159000</v>
      </c>
      <c r="M330" s="45">
        <f t="shared" ca="1" si="152"/>
        <v>170500</v>
      </c>
      <c r="N330" s="45">
        <f t="shared" ca="1" si="152"/>
        <v>118646.03</v>
      </c>
      <c r="O330" s="45">
        <f t="shared" ca="1" si="150"/>
        <v>74.620144654088051</v>
      </c>
      <c r="P330" s="45">
        <f t="shared" ca="1" si="151"/>
        <v>69.587114369501464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159000</v>
      </c>
      <c r="M331" s="38">
        <f t="shared" ca="1" si="153"/>
        <v>161500</v>
      </c>
      <c r="N331" s="38">
        <f t="shared" ca="1" si="153"/>
        <v>118646.03</v>
      </c>
      <c r="O331" s="38">
        <f t="shared" ca="1" si="150"/>
        <v>74.620144654088051</v>
      </c>
      <c r="P331" s="38">
        <f t="shared" ca="1" si="151"/>
        <v>73.465034055727557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IFERROR(__xludf.DUMMYFUNCTION("IMPORTRANGE(""https://docs.google.com/spreadsheets/d/1MeEWN-I1oV_STSDYn1IFDPWt_1FKiwhDph83XaGc0o0/edit?usp=sharing"",""งบพรบ!EM85"")"),159000)</f>
        <v>159000</v>
      </c>
      <c r="M333" s="45">
        <f ca="1">IFERROR(__xludf.DUMMYFUNCTION("IMPORTRANGE(""https://docs.google.com/spreadsheets/d/1MeEWN-I1oV_STSDYn1IFDPWt_1FKiwhDph83XaGc0o0/edit?usp=sharing"",""งบพรบ!ER85"")"),161500)</f>
        <v>161500</v>
      </c>
      <c r="N333" s="45">
        <f ca="1">IFERROR(__xludf.DUMMYFUNCTION("IMPORTRANGE(""https://docs.google.com/spreadsheets/d/1MeEWN-I1oV_STSDYn1IFDPWt_1FKiwhDph83XaGc0o0/edit?usp=sharing"",""งบพรบ!ET85"")"),118646.03)</f>
        <v>118646.03</v>
      </c>
      <c r="O333" s="45">
        <f t="shared" ca="1" si="150"/>
        <v>74.620144654088051</v>
      </c>
      <c r="P333" s="45">
        <f t="shared" ca="1" si="151"/>
        <v>73.465034055727557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9000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IFERROR(__xludf.DUMMYFUNCTION("IMPORTRANGE(""https://docs.google.com/spreadsheets/d/1MeEWN-I1oV_STSDYn1IFDPWt_1FKiwhDph83XaGc0o0/edit?usp=sharing"",""งบพรบ!EP85"")"),0)</f>
        <v>0</v>
      </c>
      <c r="M336" s="45">
        <f ca="1">IFERROR(__xludf.DUMMYFUNCTION("IMPORTRANGE(""https://docs.google.com/spreadsheets/d/1MeEWN-I1oV_STSDYn1IFDPWt_1FKiwhDph83XaGc0o0/edit?usp=sharing"",""งบพรบ!ES85"")"),9000)</f>
        <v>9000</v>
      </c>
      <c r="N336" s="45">
        <f ca="1">IFERROR(__xludf.DUMMYFUNCTION("IMPORTRANGE(""https://docs.google.com/spreadsheets/d/1MeEWN-I1oV_STSDYn1IFDPWt_1FKiwhDph83XaGc0o0/edit?usp=sharing"",""งบพรบ!EU85"")"),0)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IFERROR(__xludf.DUMMYFUNCTION("IMPORTRANGE(""https://docs.google.com/spreadsheets/d/1QqKyyYR6Q21VydFLVH3TRQUabQu_ym0Zz7PgGX0-kHA/edit?usp=sharing"",""แผน!EG85"")"),500)</f>
        <v>500</v>
      </c>
      <c r="J338" s="37">
        <f ca="1">IFERROR(__xludf.DUMMYFUNCTION("IMPORTRANGE(""https://docs.google.com/spreadsheets/d/1kVcqe37tkHyjCSG3S0O1AXqVkqjo8mSIZil3BcpIysc/edit?usp=sharing"",""ศูนย์!D85"")"),740)</f>
        <v>740</v>
      </c>
      <c r="K338" s="38">
        <f ca="1">IF(I338&gt;0,J338*100/I338,0)</f>
        <v>148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IFERROR(__xludf.DUMMYFUNCTION("IMPORTRANGE(""https://docs.google.com/spreadsheets/d/1QqKyyYR6Q21VydFLVH3TRQUabQu_ym0Zz7PgGX0-kHA/edit?usp=sharing"",""แผน!EH85"")"),3)</f>
        <v>3</v>
      </c>
      <c r="J340" s="37">
        <f ca="1">IFERROR(__xludf.DUMMYFUNCTION("IMPORTRANGE(""https://docs.google.com/spreadsheets/d/1kVcqe37tkHyjCSG3S0O1AXqVkqjo8mSIZil3BcpIysc/edit?usp=sharing"",""ศูนย์!E85"")"),3)</f>
        <v>3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IFERROR(__xludf.DUMMYFUNCTION("IMPORTRANGE(""https://docs.google.com/spreadsheets/d/1kVcqe37tkHyjCSG3S0O1AXqVkqjo8mSIZil3BcpIysc/edit?usp=sharing"",""ศูนย์!F85"")"),73)</f>
        <v>73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IFERROR(__xludf.DUMMYFUNCTION("IMPORTRANGE(""https://docs.google.com/spreadsheets/d/1kVcqe37tkHyjCSG3S0O1AXqVkqjo8mSIZil3BcpIysc/edit?usp=sharing"",""ศูนย์!G85"")"),0)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IFERROR(__xludf.DUMMYFUNCTION("IMPORTRANGE(""https://docs.google.com/spreadsheets/d/1kVcqe37tkHyjCSG3S0O1AXqVkqjo8mSIZil3BcpIysc/edit?usp=sharing"",""ศูนย์!H85"")"),0)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619700</v>
      </c>
      <c r="M345" s="154">
        <f t="shared" ca="1" si="155"/>
        <v>649700</v>
      </c>
      <c r="N345" s="154">
        <f t="shared" ca="1" si="155"/>
        <v>467391.26</v>
      </c>
      <c r="O345" s="154">
        <f t="shared" ref="O345:O353" ca="1" si="156">IF(L345&gt;0,N345*100/L345,0)</f>
        <v>75.422181700822975</v>
      </c>
      <c r="P345" s="154">
        <f t="shared" ref="P345:P353" ca="1" si="157">IF(M345&gt;0,N345*100/M345,0)</f>
        <v>71.939550561797759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619700</v>
      </c>
      <c r="M347" s="45">
        <f t="shared" ca="1" si="158"/>
        <v>649700</v>
      </c>
      <c r="N347" s="45">
        <f t="shared" ca="1" si="158"/>
        <v>467391.26</v>
      </c>
      <c r="O347" s="45">
        <f t="shared" ca="1" si="156"/>
        <v>75.422181700822975</v>
      </c>
      <c r="P347" s="45">
        <f t="shared" ca="1" si="157"/>
        <v>71.939550561797759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573700</v>
      </c>
      <c r="M348" s="38">
        <f t="shared" ca="1" si="159"/>
        <v>603700</v>
      </c>
      <c r="N348" s="38">
        <f t="shared" ca="1" si="159"/>
        <v>421391.26</v>
      </c>
      <c r="O348" s="38">
        <f t="shared" ca="1" si="156"/>
        <v>73.451500784382077</v>
      </c>
      <c r="P348" s="38">
        <f t="shared" ca="1" si="157"/>
        <v>69.801434487328137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IFERROR(__xludf.DUMMYFUNCTION("IMPORTRANGE(""https://docs.google.com/spreadsheets/d/1MeEWN-I1oV_STSDYn1IFDPWt_1FKiwhDph83XaGc0o0/edit?usp=sharing"",""งบพรบ!EW85"")"),573700)</f>
        <v>573700</v>
      </c>
      <c r="M350" s="45">
        <f ca="1">IFERROR(__xludf.DUMMYFUNCTION("IMPORTRANGE(""https://docs.google.com/spreadsheets/d/1MeEWN-I1oV_STSDYn1IFDPWt_1FKiwhDph83XaGc0o0/edit?usp=sharing"",""งบพรบ!FB85"")"),603700)</f>
        <v>603700</v>
      </c>
      <c r="N350" s="45">
        <f ca="1">IFERROR(__xludf.DUMMYFUNCTION("IMPORTRANGE(""https://docs.google.com/spreadsheets/d/1MeEWN-I1oV_STSDYn1IFDPWt_1FKiwhDph83XaGc0o0/edit?usp=sharing"",""งบพรบ!FD85"")"),421391.26)</f>
        <v>421391.26</v>
      </c>
      <c r="O350" s="45">
        <f t="shared" ca="1" si="156"/>
        <v>73.451500784382077</v>
      </c>
      <c r="P350" s="45">
        <f t="shared" ca="1" si="157"/>
        <v>69.801434487328137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46000</v>
      </c>
      <c r="M351" s="38">
        <f t="shared" ca="1" si="160"/>
        <v>46000</v>
      </c>
      <c r="N351" s="38">
        <f t="shared" ca="1" si="160"/>
        <v>46000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IFERROR(__xludf.DUMMYFUNCTION("IMPORTRANGE(""https://docs.google.com/spreadsheets/d/1MeEWN-I1oV_STSDYn1IFDPWt_1FKiwhDph83XaGc0o0/edit?usp=sharing"",""งบพรบ!EZ85"")"),46000)</f>
        <v>46000</v>
      </c>
      <c r="M353" s="45">
        <f ca="1">IFERROR(__xludf.DUMMYFUNCTION("IMPORTRANGE(""https://docs.google.com/spreadsheets/d/1MeEWN-I1oV_STSDYn1IFDPWt_1FKiwhDph83XaGc0o0/edit?usp=sharing"",""งบพรบ!FC85"")"),46000)</f>
        <v>46000</v>
      </c>
      <c r="N353" s="45">
        <f ca="1">IFERROR(__xludf.DUMMYFUNCTION("IMPORTRANGE(""https://docs.google.com/spreadsheets/d/1MeEWN-I1oV_STSDYn1IFDPWt_1FKiwhDph83XaGc0o0/edit?usp=sharing"",""งบพรบ!FE85"")"),46000)</f>
        <v>46000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IFERROR(__xludf.DUMMYFUNCTION("IMPORTRANGE(""https://docs.google.com/spreadsheets/d/1QqKyyYR6Q21VydFLVH3TRQUabQu_ym0Zz7PgGX0-kHA/edit?usp=sharing"",""แผน!EP85"")"),60)</f>
        <v>60</v>
      </c>
      <c r="J355" s="438">
        <f ca="1">J362</f>
        <v>36</v>
      </c>
      <c r="K355" s="439">
        <f ca="1">IF(I355&gt;0,J355*100/I355,0)</f>
        <v>60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IFERROR(__xludf.DUMMYFUNCTION("IMPORTRANGE(""https://docs.google.com/spreadsheets/d/1XWAQStnk-4SwqDmLtmXYiTMKHgktTP8We1SCoS47DrQ/edit?usp=sharing"",""จัดที่ดิน!W85"")"),84)</f>
        <v>84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IFERROR(__xludf.DUMMYFUNCTION("IMPORTRANGE(""https://docs.google.com/spreadsheets/d/1QqKyyYR6Q21VydFLVH3TRQUabQu_ym0Zz7PgGX0-kHA/edit?usp=sharing"",""แผน!EO85"")"),450)</f>
        <v>450</v>
      </c>
      <c r="J359" s="37">
        <f ca="1">IFERROR(__xludf.DUMMYFUNCTION("IMPORTRANGE(""https://docs.google.com/spreadsheets/d/1XWAQStnk-4SwqDmLtmXYiTMKHgktTP8We1SCoS47DrQ/edit?usp=sharing"",""จัดที่ดิน!X85"")"),488.9)</f>
        <v>488.9</v>
      </c>
      <c r="K359" s="38">
        <f t="shared" ca="1" si="161"/>
        <v>108.64444444444445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IFERROR(__xludf.DUMMYFUNCTION("IMPORTRANGE(""https://docs.google.com/spreadsheets/d/1QqKyyYR6Q21VydFLVH3TRQUabQu_ym0Zz7PgGX0-kHA/edit?usp=sharing"",""แผน!EP85"")"),60)</f>
        <v>60</v>
      </c>
      <c r="J360" s="37">
        <f ca="1">IFERROR(__xludf.DUMMYFUNCTION("IMPORTRANGE(""https://docs.google.com/spreadsheets/d/1XWAQStnk-4SwqDmLtmXYiTMKHgktTP8We1SCoS47DrQ/edit?usp=sharing"",""จัดที่ดิน!Y85"")"),54)</f>
        <v>54</v>
      </c>
      <c r="K360" s="38">
        <f t="shared" ca="1" si="161"/>
        <v>90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IFERROR(__xludf.DUMMYFUNCTION("IMPORTRANGE(""https://docs.google.com/spreadsheets/d/1XWAQStnk-4SwqDmLtmXYiTMKHgktTP8We1SCoS47DrQ/edit?usp=sharing"",""จัดที่ดิน!Z85"")"),285.32)</f>
        <v>285.32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IFERROR(__xludf.DUMMYFUNCTION("IMPORTRANGE(""https://docs.google.com/spreadsheets/d/1QqKyyYR6Q21VydFLVH3TRQUabQu_ym0Zz7PgGX0-kHA/edit?usp=sharing"",""แผน!EP85"")"),60)</f>
        <v>60</v>
      </c>
      <c r="J362" s="37">
        <f ca="1">IFERROR(__xludf.DUMMYFUNCTION("IMPORTRANGE(""https://docs.google.com/spreadsheets/d/1XWAQStnk-4SwqDmLtmXYiTMKHgktTP8We1SCoS47DrQ/edit?usp=sharing"",""จัดที่ดิน!AA85"")"),36)</f>
        <v>36</v>
      </c>
      <c r="K362" s="38">
        <f t="shared" ca="1" si="161"/>
        <v>60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IFERROR(__xludf.DUMMYFUNCTION("IMPORTRANGE(""https://docs.google.com/spreadsheets/d/1XWAQStnk-4SwqDmLtmXYiTMKHgktTP8We1SCoS47DrQ/edit?usp=sharing"",""จัดที่ดิน!AB85"")"),187.69)</f>
        <v>187.69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110</v>
      </c>
      <c r="J364" s="452">
        <f t="shared" ca="1" si="162"/>
        <v>97</v>
      </c>
      <c r="K364" s="453">
        <f t="shared" ca="1" si="161"/>
        <v>88.181818181818187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IFERROR(__xludf.DUMMYFUNCTION("IMPORTRANGE(""https://docs.google.com/spreadsheets/d/1QqKyyYR6Q21VydFLVH3TRQUabQu_ym0Zz7PgGX0-kHA/edit?usp=sharing"",""แผน!EJ85"")"),30)</f>
        <v>30</v>
      </c>
      <c r="J365" s="462">
        <f ca="1">J372</f>
        <v>17</v>
      </c>
      <c r="K365" s="463">
        <f t="shared" ca="1" si="161"/>
        <v>56.666666666666664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IFERROR(__xludf.DUMMYFUNCTION("IMPORTRANGE(""https://docs.google.com/spreadsheets/d/1XWAQStnk-4SwqDmLtmXYiTMKHgktTP8We1SCoS47DrQ/edit?usp=sharing"",""จัดที่ดิน!E85"")"),55)</f>
        <v>55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IFERROR(__xludf.DUMMYFUNCTION("IMPORTRANGE(""https://docs.google.com/spreadsheets/d/1QqKyyYR6Q21VydFLVH3TRQUabQu_ym0Zz7PgGX0-kHA/edit?usp=sharing"",""แผน!EI85"")"),300)</f>
        <v>300</v>
      </c>
      <c r="J369" s="37">
        <f ca="1">IFERROR(__xludf.DUMMYFUNCTION("IMPORTRANGE(""https://docs.google.com/spreadsheets/d/1XWAQStnk-4SwqDmLtmXYiTMKHgktTP8We1SCoS47DrQ/edit?usp=sharing"",""จัดที่ดิน!F85"")"),325.74)</f>
        <v>325.74</v>
      </c>
      <c r="K369" s="38">
        <f t="shared" ca="1" si="163"/>
        <v>108.58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IFERROR(__xludf.DUMMYFUNCTION("IMPORTRANGE(""https://docs.google.com/spreadsheets/d/1QqKyyYR6Q21VydFLVH3TRQUabQu_ym0Zz7PgGX0-kHA/edit?usp=sharing"",""แผน!EJ85"")"),30)</f>
        <v>30</v>
      </c>
      <c r="J370" s="37">
        <f ca="1">IFERROR(__xludf.DUMMYFUNCTION("IMPORTRANGE(""https://docs.google.com/spreadsheets/d/1XWAQStnk-4SwqDmLtmXYiTMKHgktTP8We1SCoS47DrQ/edit?usp=sharing"",""จัดที่ดิน!G85"")"),34)</f>
        <v>34</v>
      </c>
      <c r="K370" s="38">
        <f t="shared" ca="1" si="163"/>
        <v>113.33333333333333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IFERROR(__xludf.DUMMYFUNCTION("IMPORTRANGE(""https://docs.google.com/spreadsheets/d/1XWAQStnk-4SwqDmLtmXYiTMKHgktTP8We1SCoS47DrQ/edit?usp=sharing"",""จัดที่ดิน!H85"")"),202.28)</f>
        <v>202.28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IFERROR(__xludf.DUMMYFUNCTION("IMPORTRANGE(""https://docs.google.com/spreadsheets/d/1QqKyyYR6Q21VydFLVH3TRQUabQu_ym0Zz7PgGX0-kHA/edit?usp=sharing"",""แผน!EJ85"")"),30)</f>
        <v>30</v>
      </c>
      <c r="J372" s="37">
        <f ca="1">IFERROR(__xludf.DUMMYFUNCTION("IMPORTRANGE(""https://docs.google.com/spreadsheets/d/1XWAQStnk-4SwqDmLtmXYiTMKHgktTP8We1SCoS47DrQ/edit?usp=sharing"",""จัดที่ดิน!I85"")"),17)</f>
        <v>17</v>
      </c>
      <c r="K372" s="38">
        <f t="shared" ca="1" si="163"/>
        <v>56.666666666666664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IFERROR(__xludf.DUMMYFUNCTION("IMPORTRANGE(""https://docs.google.com/spreadsheets/d/1XWAQStnk-4SwqDmLtmXYiTMKHgktTP8We1SCoS47DrQ/edit?usp=sharing"",""จัดที่ดิน!J85"")"),113.42)</f>
        <v>113.42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IFERROR(__xludf.DUMMYFUNCTION("IMPORTRANGE(""https://docs.google.com/spreadsheets/d/1QqKyyYR6Q21VydFLVH3TRQUabQu_ym0Zz7PgGX0-kHA/edit?usp=sharing"",""แผน!EU85"")"),80)</f>
        <v>80</v>
      </c>
      <c r="J374" s="462">
        <f ca="1">J381</f>
        <v>80</v>
      </c>
      <c r="K374" s="463">
        <f t="shared" ca="1" si="163"/>
        <v>100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IFERROR(__xludf.DUMMYFUNCTION("IMPORTRANGE(""https://docs.google.com/spreadsheets/d/1XWAQStnk-4SwqDmLtmXYiTMKHgktTP8We1SCoS47DrQ/edit?usp=sharing"",""จัดที่ดิน!AH85"")"),29)</f>
        <v>29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IFERROR(__xludf.DUMMYFUNCTION("IMPORTRANGE(""https://docs.google.com/spreadsheets/d/1QqKyyYR6Q21VydFLVH3TRQUabQu_ym0Zz7PgGX0-kHA/edit?usp=sharing"",""แผน!ET85"")"),150)</f>
        <v>150</v>
      </c>
      <c r="J378" s="37">
        <f ca="1">IFERROR(__xludf.DUMMYFUNCTION("IMPORTRANGE(""https://docs.google.com/spreadsheets/d/1XWAQStnk-4SwqDmLtmXYiTMKHgktTP8We1SCoS47DrQ/edit?usp=sharing"",""จัดที่ดิน!AI85"")"),163.16)</f>
        <v>163.16</v>
      </c>
      <c r="K378" s="38">
        <f t="shared" ca="1" si="164"/>
        <v>108.77333333333333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IFERROR(__xludf.DUMMYFUNCTION("IMPORTRANGE(""https://docs.google.com/spreadsheets/d/1QqKyyYR6Q21VydFLVH3TRQUabQu_ym0Zz7PgGX0-kHA/edit?usp=sharing"",""แผน!EU85"")"),80)</f>
        <v>80</v>
      </c>
      <c r="J379" s="37">
        <f ca="1">IFERROR(__xludf.DUMMYFUNCTION("IMPORTRANGE(""https://docs.google.com/spreadsheets/d/1XWAQStnk-4SwqDmLtmXYiTMKHgktTP8We1SCoS47DrQ/edit?usp=sharing"",""จัดที่ดิน!AJ85"")"),107)</f>
        <v>107</v>
      </c>
      <c r="K379" s="38">
        <f t="shared" ca="1" si="164"/>
        <v>133.75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IFERROR(__xludf.DUMMYFUNCTION("IMPORTRANGE(""https://docs.google.com/spreadsheets/d/1XWAQStnk-4SwqDmLtmXYiTMKHgktTP8We1SCoS47DrQ/edit?usp=sharing"",""จัดที่ดิน!AK85"")"),1401.1)</f>
        <v>1401.1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IFERROR(__xludf.DUMMYFUNCTION("IMPORTRANGE(""https://docs.google.com/spreadsheets/d/1QqKyyYR6Q21VydFLVH3TRQUabQu_ym0Zz7PgGX0-kHA/edit?usp=sharing"",""แผน!EU85"")"),80)</f>
        <v>80</v>
      </c>
      <c r="J381" s="37">
        <f ca="1">IFERROR(__xludf.DUMMYFUNCTION("IMPORTRANGE(""https://docs.google.com/spreadsheets/d/1XWAQStnk-4SwqDmLtmXYiTMKHgktTP8We1SCoS47DrQ/edit?usp=sharing"",""จัดที่ดิน!AL85"")"),80)</f>
        <v>80</v>
      </c>
      <c r="K381" s="38">
        <f t="shared" ca="1" si="164"/>
        <v>100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IFERROR(__xludf.DUMMYFUNCTION("IMPORTRANGE(""https://docs.google.com/spreadsheets/d/1XWAQStnk-4SwqDmLtmXYiTMKHgktTP8We1SCoS47DrQ/edit?usp=sharing"",""จัดที่ดิน!AM85"")"),886.54)</f>
        <v>886.54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IFERROR(__xludf.DUMMYFUNCTION("IMPORTRANGE(""https://docs.google.com/spreadsheets/d/1QqKyyYR6Q21VydFLVH3TRQUabQu_ym0Zz7PgGX0-kHA/edit?usp=sharing"",""แผน!EW85"")"),10)</f>
        <v>10</v>
      </c>
      <c r="J385" s="365">
        <f ca="1">IFERROR(__xludf.DUMMYFUNCTION("IMPORTRANGE(""https://docs.google.com/spreadsheets/d/1XWAQStnk-4SwqDmLtmXYiTMKHgktTP8We1SCoS47DrQ/edit?usp=sharing"",""จัดที่ดิน!AP85"")"),8)</f>
        <v>8</v>
      </c>
      <c r="K385" s="475">
        <f ca="1">IF(I385&gt;0,J385*100/I385,0)</f>
        <v>80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IFERROR(__xludf.DUMMYFUNCTION("IMPORTRANGE(""https://docs.google.com/spreadsheets/d/1MeEWN-I1oV_STSDYn1IFDPWt_1FKiwhDph83XaGc0o0/edit?usp=sharing"",""งบพรบ!FG85"")"),0)</f>
        <v>0</v>
      </c>
      <c r="M394" s="45">
        <f ca="1">IFERROR(__xludf.DUMMYFUNCTION("IMPORTRANGE(""https://docs.google.com/spreadsheets/d/1MeEWN-I1oV_STSDYn1IFDPWt_1FKiwhDph83XaGc0o0/edit?usp=sharing"",""งบพรบ!FL85"")"),0)</f>
        <v>0</v>
      </c>
      <c r="N394" s="45">
        <f ca="1">IFERROR(__xludf.DUMMYFUNCTION("IMPORTRANGE(""https://docs.google.com/spreadsheets/d/1MeEWN-I1oV_STSDYn1IFDPWt_1FKiwhDph83XaGc0o0/edit?usp=sharing"",""งบพรบ!FN85"")"),0)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IFERROR(__xludf.DUMMYFUNCTION("IMPORTRANGE(""https://docs.google.com/spreadsheets/d/1MeEWN-I1oV_STSDYn1IFDPWt_1FKiwhDph83XaGc0o0/edit?usp=sharing"",""งบพรบ!FJ85"")"),0)</f>
        <v>0</v>
      </c>
      <c r="M397" s="45">
        <f ca="1">IFERROR(__xludf.DUMMYFUNCTION("IMPORTRANGE(""https://docs.google.com/spreadsheets/d/1MeEWN-I1oV_STSDYn1IFDPWt_1FKiwhDph83XaGc0o0/edit?usp=sharing"",""งบพรบ!FM85"")"),0)</f>
        <v>0</v>
      </c>
      <c r="N397" s="45">
        <f ca="1">IFERROR(__xludf.DUMMYFUNCTION("IMPORTRANGE(""https://docs.google.com/spreadsheets/d/1MeEWN-I1oV_STSDYn1IFDPWt_1FKiwhDph83XaGc0o0/edit?usp=sharing"",""งบพรบ!FO85"")"),0)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0</v>
      </c>
      <c r="J401" s="495">
        <f t="shared" si="173"/>
        <v>0</v>
      </c>
      <c r="K401" s="496">
        <f t="shared" si="172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IFERROR(__xludf.DUMMYFUNCTION("IMPORTRANGE(""https://docs.google.com/spreadsheets/d/1MeEWN-I1oV_STSDYn1IFDPWt_1FKiwhDph83XaGc0o0/edit?usp=sharing"",""งบพรบ!FQ85"")"),0)</f>
        <v>0</v>
      </c>
      <c r="M407" s="45">
        <f ca="1">IFERROR(__xludf.DUMMYFUNCTION("IMPORTRANGE(""https://docs.google.com/spreadsheets/d/1MeEWN-I1oV_STSDYn1IFDPWt_1FKiwhDph83XaGc0o0/edit?usp=sharing"",""งบพรบ!FV85"")"),0)</f>
        <v>0</v>
      </c>
      <c r="N407" s="45">
        <f ca="1">IFERROR(__xludf.DUMMYFUNCTION("IMPORTRANGE(""https://docs.google.com/spreadsheets/d/1MeEWN-I1oV_STSDYn1IFDPWt_1FKiwhDph83XaGc0o0/edit?usp=sharing"",""งบพรบ!FX85"")"),0)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IFERROR(__xludf.DUMMYFUNCTION("IMPORTRANGE(""https://docs.google.com/spreadsheets/d/1MeEWN-I1oV_STSDYn1IFDPWt_1FKiwhDph83XaGc0o0/edit?usp=sharing"",""งบพรบ!FT85"")"),0)</f>
        <v>0</v>
      </c>
      <c r="M410" s="45">
        <f ca="1">IFERROR(__xludf.DUMMYFUNCTION("IMPORTRANGE(""https://docs.google.com/spreadsheets/d/1MeEWN-I1oV_STSDYn1IFDPWt_1FKiwhDph83XaGc0o0/edit?usp=sharing"",""งบพรบ!FW85"")"),0)</f>
        <v>0</v>
      </c>
      <c r="N410" s="45">
        <f ca="1">IFERROR(__xludf.DUMMYFUNCTION("IMPORTRANGE(""https://docs.google.com/spreadsheets/d/1MeEWN-I1oV_STSDYn1IFDPWt_1FKiwhDph83XaGc0o0/edit?usp=sharing"",""งบพรบ!FY85"")"),0)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80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1699978</v>
      </c>
      <c r="M414" s="521">
        <f t="shared" ca="1" si="181"/>
        <v>1699978</v>
      </c>
      <c r="N414" s="521">
        <f t="shared" si="181"/>
        <v>978658.66999999993</v>
      </c>
      <c r="O414" s="521">
        <f ca="1">IF(L414&gt;0,N414*100/L414,0)</f>
        <v>57.568902068144411</v>
      </c>
      <c r="P414" s="521">
        <f ca="1">IF(M414&gt;0,N414*100/M414,0)</f>
        <v>57.568902068144411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15</v>
      </c>
      <c r="J417" s="536">
        <f t="shared" ca="1" si="182"/>
        <v>15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1</v>
      </c>
      <c r="J418" s="536">
        <f t="shared" si="182"/>
        <v>1</v>
      </c>
      <c r="K418" s="537">
        <f t="shared" ca="1" si="183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66560</v>
      </c>
      <c r="M419" s="154">
        <f t="shared" ca="1" si="184"/>
        <v>66560</v>
      </c>
      <c r="N419" s="154">
        <f t="shared" si="184"/>
        <v>66560</v>
      </c>
      <c r="O419" s="154">
        <f t="shared" ref="O419:O424" ca="1" si="185">IF(L419&gt;0,N419*100/L419,0)</f>
        <v>100</v>
      </c>
      <c r="P419" s="154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66560</v>
      </c>
      <c r="M421" s="45">
        <f t="shared" ca="1" si="187"/>
        <v>66560</v>
      </c>
      <c r="N421" s="45">
        <f t="shared" si="187"/>
        <v>66560</v>
      </c>
      <c r="O421" s="45">
        <f t="shared" ca="1" si="185"/>
        <v>100</v>
      </c>
      <c r="P421" s="45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66560</v>
      </c>
      <c r="M422" s="38">
        <f t="shared" ca="1" si="188"/>
        <v>66560</v>
      </c>
      <c r="N422" s="38">
        <f t="shared" si="188"/>
        <v>66560</v>
      </c>
      <c r="O422" s="38">
        <f t="shared" ca="1" si="185"/>
        <v>100</v>
      </c>
      <c r="P422" s="3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IFERROR(__xludf.DUMMYFUNCTION("IMPORTRANGE(""https://docs.google.com/spreadsheets/d/1QqKyyYR6Q21VydFLVH3TRQUabQu_ym0Zz7PgGX0-kHA/edit?usp=sharing"",""แผน!EY85"")"),66560)</f>
        <v>66560</v>
      </c>
      <c r="M424" s="45">
        <f ca="1">L424</f>
        <v>66560</v>
      </c>
      <c r="N424" s="45">
        <f>N425+N426+N427+N428</f>
        <v>66560</v>
      </c>
      <c r="O424" s="45">
        <f t="shared" ca="1" si="185"/>
        <v>100</v>
      </c>
      <c r="P424" s="45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25125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41435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IFERROR(__xludf.DUMMYFUNCTION("IMPORTRANGE(""https://docs.google.com/spreadsheets/d/1QqKyyYR6Q21VydFLVH3TRQUabQu_ym0Zz7PgGX0-kHA/edit?usp=sharing"",""แผน!FB85"")"),0)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IFERROR(__xludf.DUMMYFUNCTION("IMPORTRANGE(""https://docs.google.com/spreadsheets/d/1QqKyyYR6Q21VydFLVH3TRQUabQu_ym0Zz7PgGX0-kHA/edit?usp=sharing"",""แผน!FC85"")"),15)</f>
        <v>15</v>
      </c>
      <c r="J435" s="549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IFERROR(__xludf.DUMMYFUNCTION("IMPORTRANGE(""https://docs.google.com/spreadsheets/d/1QqKyyYR6Q21VydFLVH3TRQUabQu_ym0Zz7PgGX0-kHA/edit?usp=sharing"",""แผน!FD85"")"),0)</f>
        <v>0</v>
      </c>
      <c r="J437" s="549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IFERROR(__xludf.DUMMYFUNCTION("IMPORTRANGE(""https://docs.google.com/spreadsheets/d/1QqKyyYR6Q21VydFLVH3TRQUabQu_ym0Zz7PgGX0-kHA/edit?usp=sharing"",""แผน!FE85"")"),0)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IFERROR(__xludf.DUMMYFUNCTION("IMPORTRANGE(""https://docs.google.com/spreadsheets/d/1QqKyyYR6Q21VydFLVH3TRQUabQu_ym0Zz7PgGX0-kHA/edit?usp=sharing"",""แผน!FF85"")"),15)</f>
        <v>15</v>
      </c>
      <c r="J439" s="549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IFERROR(__xludf.DUMMYFUNCTION("IMPORTRANGE(""https://docs.google.com/spreadsheets/d/1QqKyyYR6Q21VydFLVH3TRQUabQu_ym0Zz7PgGX0-kHA/edit?usp=sharing"",""แผน!FG85"")"),1)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IFERROR(__xludf.DUMMYFUNCTION("IMPORTRANGE(""https://docs.google.com/spreadsheets/d/1QqKyyYR6Q21VydFLVH3TRQUabQu_ym0Zz7PgGX0-kHA/edit?usp=sharing"",""แผน!FH85"")"),0)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20</v>
      </c>
      <c r="J442" s="555">
        <f t="shared" si="195"/>
        <v>20</v>
      </c>
      <c r="K442" s="556">
        <f t="shared" ca="1" si="194"/>
        <v>100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20</v>
      </c>
      <c r="J443" s="536">
        <f t="shared" si="196"/>
        <v>20</v>
      </c>
      <c r="K443" s="537">
        <f t="shared" ca="1" si="194"/>
        <v>100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78360</v>
      </c>
      <c r="M444" s="191">
        <f t="shared" ca="1" si="197"/>
        <v>78360</v>
      </c>
      <c r="N444" s="191">
        <f t="shared" si="197"/>
        <v>55240</v>
      </c>
      <c r="O444" s="191">
        <f t="shared" ref="O444:O449" ca="1" si="198">IF(L444&gt;0,N444*100/L444,0)</f>
        <v>70.495150587034203</v>
      </c>
      <c r="P444" s="191">
        <f t="shared" ref="P444:P449" ca="1" si="199">IF(M444&gt;0,N444*100/M444,0)</f>
        <v>70.495150587034203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78360</v>
      </c>
      <c r="M446" s="45">
        <f t="shared" ca="1" si="200"/>
        <v>78360</v>
      </c>
      <c r="N446" s="45">
        <f t="shared" si="200"/>
        <v>55240</v>
      </c>
      <c r="O446" s="45">
        <f t="shared" ca="1" si="198"/>
        <v>70.495150587034203</v>
      </c>
      <c r="P446" s="45">
        <f t="shared" ca="1" si="199"/>
        <v>70.495150587034203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78360</v>
      </c>
      <c r="M447" s="38">
        <f t="shared" ca="1" si="201"/>
        <v>78360</v>
      </c>
      <c r="N447" s="38">
        <f t="shared" si="201"/>
        <v>55240</v>
      </c>
      <c r="O447" s="38">
        <f t="shared" ca="1" si="198"/>
        <v>70.495150587034203</v>
      </c>
      <c r="P447" s="38">
        <f t="shared" ca="1" si="199"/>
        <v>70.495150587034203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IFERROR(__xludf.DUMMYFUNCTION("IMPORTRANGE(""https://docs.google.com/spreadsheets/d/1QqKyyYR6Q21VydFLVH3TRQUabQu_ym0Zz7PgGX0-kHA/edit?usp=sharing"",""แผน!FJ85"")"),78360)</f>
        <v>78360</v>
      </c>
      <c r="M449" s="45">
        <f ca="1">L449</f>
        <v>78360</v>
      </c>
      <c r="N449" s="45">
        <f>N450+N451+N452+N453</f>
        <v>55240</v>
      </c>
      <c r="O449" s="45">
        <f t="shared" ca="1" si="198"/>
        <v>70.495150587034203</v>
      </c>
      <c r="P449" s="45">
        <f t="shared" ca="1" si="199"/>
        <v>70.495150587034203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15520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34800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4920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IFERROR(__xludf.DUMMYFUNCTION("IMPORTRANGE(""https://docs.google.com/spreadsheets/d/1QqKyyYR6Q21VydFLVH3TRQUabQu_ym0Zz7PgGX0-kHA/edit?usp=sharing"",""แผน!FM85"")"),0)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IFERROR(__xludf.DUMMYFUNCTION("IMPORTRANGE(""https://docs.google.com/spreadsheets/d/1QqKyyYR6Q21VydFLVH3TRQUabQu_ym0Zz7PgGX0-kHA/edit?usp=sharing"",""แผน!FN85"")"),20)</f>
        <v>20</v>
      </c>
      <c r="J460" s="181">
        <v>20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IFERROR(__xludf.DUMMYFUNCTION("IMPORTRANGE(""https://docs.google.com/spreadsheets/d/1QqKyyYR6Q21VydFLVH3TRQUabQu_ym0Zz7PgGX0-kHA/edit?usp=sharing"",""แผน!FO85"")"),20)</f>
        <v>20</v>
      </c>
      <c r="J462" s="181">
        <v>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IFERROR(__xludf.DUMMYFUNCTION("IMPORTRANGE(""https://docs.google.com/spreadsheets/d/1QqKyyYR6Q21VydFLVH3TRQUabQu_ym0Zz7PgGX0-kHA/edit?usp=sharing"",""แผน!FO85"")"),20)</f>
        <v>20</v>
      </c>
      <c r="J463" s="181">
        <v>20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IFERROR(__xludf.DUMMYFUNCTION("IMPORTRANGE(""https://docs.google.com/spreadsheets/d/1QqKyyYR6Q21VydFLVH3TRQUabQu_ym0Zz7PgGX0-kHA/edit?usp=sharing"",""แผน!FN85"")"),20)</f>
        <v>20</v>
      </c>
      <c r="J464" s="181">
        <v>20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IFERROR(__xludf.DUMMYFUNCTION("IMPORTRANGE(""https://docs.google.com/spreadsheets/d/1QqKyyYR6Q21VydFLVH3TRQUabQu_ym0Zz7PgGX0-kHA/edit?usp=sharing"",""แผน!FX85"")"),131)</f>
        <v>131</v>
      </c>
      <c r="J465" s="555">
        <f>J485+J489+J492</f>
        <v>131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IFERROR(__xludf.DUMMYFUNCTION("IMPORTRANGE(""https://docs.google.com/spreadsheets/d/1QqKyyYR6Q21VydFLVH3TRQUabQu_ym0Zz7PgGX0-kHA/edit?usp=sharing"",""แผน!FW85"")"),1300)</f>
        <v>1300</v>
      </c>
      <c r="J466" s="536">
        <f>J495+J498</f>
        <v>0</v>
      </c>
      <c r="K466" s="537">
        <f t="shared" ca="1" si="205"/>
        <v>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1172908</v>
      </c>
      <c r="M467" s="191">
        <f t="shared" ca="1" si="206"/>
        <v>1172908</v>
      </c>
      <c r="N467" s="191">
        <f t="shared" si="206"/>
        <v>777008.72</v>
      </c>
      <c r="O467" s="191">
        <f t="shared" ref="O467:O472" ca="1" si="207">IF(L467&gt;0,N467*100/L467,0)</f>
        <v>66.24634839220127</v>
      </c>
      <c r="P467" s="191">
        <f t="shared" ref="P467:P472" ca="1" si="208">IF(M467&gt;0,N467*100/M467,0)</f>
        <v>66.24634839220127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1172908</v>
      </c>
      <c r="M469" s="45">
        <f t="shared" ca="1" si="209"/>
        <v>1172908</v>
      </c>
      <c r="N469" s="45">
        <f t="shared" si="209"/>
        <v>777008.72</v>
      </c>
      <c r="O469" s="45">
        <f t="shared" ca="1" si="207"/>
        <v>66.24634839220127</v>
      </c>
      <c r="P469" s="45">
        <f t="shared" ca="1" si="208"/>
        <v>66.24634839220127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1172908</v>
      </c>
      <c r="M470" s="38">
        <f t="shared" ca="1" si="210"/>
        <v>1172908</v>
      </c>
      <c r="N470" s="38">
        <f t="shared" si="210"/>
        <v>777008.72</v>
      </c>
      <c r="O470" s="38">
        <f t="shared" ca="1" si="207"/>
        <v>66.24634839220127</v>
      </c>
      <c r="P470" s="38">
        <f t="shared" ca="1" si="208"/>
        <v>66.24634839220127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IFERROR(__xludf.DUMMYFUNCTION("IMPORTRANGE(""https://docs.google.com/spreadsheets/d/1QqKyyYR6Q21VydFLVH3TRQUabQu_ym0Zz7PgGX0-kHA/edit?usp=sharing"",""แผน!FS85"")"),1172908)</f>
        <v>1172908</v>
      </c>
      <c r="M472" s="45">
        <f ca="1">L472</f>
        <v>1172908</v>
      </c>
      <c r="N472" s="45">
        <f>N473+N474+N475+N476</f>
        <v>777008.72</v>
      </c>
      <c r="O472" s="45">
        <f t="shared" ca="1" si="207"/>
        <v>66.24634839220127</v>
      </c>
      <c r="P472" s="45">
        <f t="shared" ca="1" si="208"/>
        <v>66.24634839220127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161485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493014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91000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31509.72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IFERROR(__xludf.DUMMYFUNCTION("IMPORTRANGE(""https://docs.google.com/spreadsheets/d/1QqKyyYR6Q21VydFLVH3TRQUabQu_ym0Zz7PgGX0-kHA/edit?usp=sharing"",""แผน!FV85"")"),0)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IFERROR(__xludf.DUMMYFUNCTION("IMPORTRANGE(""https://docs.google.com/spreadsheets/d/1QqKyyYR6Q21VydFLVH3TRQUabQu_ym0Zz7PgGX0-kHA/edit?usp=sharing"",""แผน!FY85"")"),1170)</f>
        <v>1170</v>
      </c>
      <c r="J483" s="181">
        <v>1455</v>
      </c>
      <c r="K483" s="38">
        <f ca="1">IF(I483&gt;0,J483*100/I483,0)</f>
        <v>124.35897435897436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117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IFERROR(__xludf.DUMMYFUNCTION("IMPORTRANGE(""https://docs.google.com/spreadsheets/d/1QqKyyYR6Q21VydFLVH3TRQUabQu_ym0Zz7PgGX0-kHA/edit?usp=sharing"",""แผน!FZ85"")"),117)</f>
        <v>117</v>
      </c>
      <c r="J485" s="181">
        <v>117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IFERROR(__xludf.DUMMYFUNCTION("IMPORTRANGE(""https://docs.google.com/spreadsheets/d/1QqKyyYR6Q21VydFLVH3TRQUabQu_ym0Zz7PgGX0-kHA/edit?usp=sharing"",""แผน!GA85"")"),130)</f>
        <v>130</v>
      </c>
      <c r="J487" s="181">
        <v>159</v>
      </c>
      <c r="K487" s="38">
        <f ca="1">IF(I487&gt;0,J487*100/I487,0)</f>
        <v>122.30769230769231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13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IFERROR(__xludf.DUMMYFUNCTION("IMPORTRANGE(""https://docs.google.com/spreadsheets/d/1QqKyyYR6Q21VydFLVH3TRQUabQu_ym0Zz7PgGX0-kHA/edit?usp=sharing"",""แผน!GB85"")"),13)</f>
        <v>13</v>
      </c>
      <c r="J489" s="181">
        <v>13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IFERROR(__xludf.DUMMYFUNCTION("IMPORTRANGE(""https://docs.google.com/spreadsheets/d/1QqKyyYR6Q21VydFLVH3TRQUabQu_ym0Zz7PgGX0-kHA/edit?usp=sharing"",""แผน!GC85"")"),1)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IFERROR(__xludf.DUMMYFUNCTION("IMPORTRANGE(""https://docs.google.com/spreadsheets/d/1QqKyyYR6Q21VydFLVH3TRQUabQu_ym0Zz7PgGX0-kHA/edit?usp=sharing"",""แผน!FY85"")"),1170)</f>
        <v>1170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IFERROR(__xludf.DUMMYFUNCTION("IMPORTRANGE(""https://docs.google.com/spreadsheets/d/1QqKyyYR6Q21VydFLVH3TRQUabQu_ym0Zz7PgGX0-kHA/edit?usp=sharing"",""แผน!GA85"")"),130)</f>
        <v>130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 hidden="1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 hidden="1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0</v>
      </c>
      <c r="J522" s="630">
        <f t="shared" ca="1" si="225"/>
        <v>0</v>
      </c>
      <c r="K522" s="631">
        <f ca="1">IF(I522&gt;0,J522*100/I522,0)</f>
        <v>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 hidden="1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 hidden="1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IFERROR(__xludf.DUMMYFUNCTION("IMPORTRANGE(""https://docs.google.com/spreadsheets/d/1QqKyyYR6Q21VydFLVH3TRQUabQu_ym0Zz7PgGX0-kHA/edit?usp=sharing"",""แผน!GQ85"")"),0)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 hidden="1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 hidden="1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 hidden="1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 hidden="1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 hidden="1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IFERROR(__xludf.DUMMYFUNCTION("IMPORTRANGE(""https://docs.google.com/spreadsheets/d/1QqKyyYR6Q21VydFLVH3TRQUabQu_ym0Zz7PgGX0-kHA/edit?usp=sharing"",""แผน!GT85"")"),0)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 hidden="1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 hidden="1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IFERROR(__xludf.DUMMYFUNCTION("IMPORTRANGE(""https://docs.google.com/spreadsheets/d/1QqKyyYR6Q21VydFLVH3TRQUabQu_ym0Zz7PgGX0-kHA/edit?usp=sharing"",""แผน!GU85"")"),0)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 hidden="1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IFERROR(__xludf.DUMMYFUNCTION("IMPORTRANGE(""https://docs.google.com/spreadsheets/d/1QqKyyYR6Q21VydFLVH3TRQUabQu_ym0Zz7PgGX0-kHA/edit?usp=sharing"",""แผน!GV85"")"),0)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 hidden="1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IFERROR(__xludf.DUMMYFUNCTION("IMPORTRANGE(""https://docs.google.com/spreadsheets/d/1QqKyyYR6Q21VydFLVH3TRQUabQu_ym0Zz7PgGX0-kHA/edit?usp=sharing"",""แผน!GW85"")"),0)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 hidden="1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IFERROR(__xludf.DUMMYFUNCTION("IMPORTRANGE(""https://docs.google.com/spreadsheets/d/1QqKyyYR6Q21VydFLVH3TRQUabQu_ym0Zz7PgGX0-kHA/edit?usp=sharing"",""แผน!GX85"")"),0)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 hidden="1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IFERROR(__xludf.DUMMYFUNCTION("IMPORTRANGE(""https://docs.google.com/spreadsheets/d/1QqKyyYR6Q21VydFLVH3TRQUabQu_ym0Zz7PgGX0-kHA/edit?usp=sharing"",""แผน!GY85"")"),0)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 hidden="1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IFERROR(__xludf.DUMMYFUNCTION("IMPORTRANGE(""https://docs.google.com/spreadsheets/d/1QqKyyYR6Q21VydFLVH3TRQUabQu_ym0Zz7PgGX0-kHA/edit?usp=sharing"",""แผน!GZ85"")"),0)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0</v>
      </c>
      <c r="J543" s="638">
        <f t="shared" si="235"/>
        <v>0</v>
      </c>
      <c r="K543" s="639">
        <f t="shared" ca="1" si="234"/>
        <v>0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218100</v>
      </c>
      <c r="M544" s="154">
        <f t="shared" ca="1" si="236"/>
        <v>218100</v>
      </c>
      <c r="N544" s="154">
        <f t="shared" si="236"/>
        <v>26687</v>
      </c>
      <c r="O544" s="154">
        <f t="shared" ref="O544:O549" ca="1" si="237">IF(L544&gt;0,N544*100/L544,0)</f>
        <v>12.236130215497479</v>
      </c>
      <c r="P544" s="154">
        <f t="shared" ref="P544:P549" ca="1" si="238">IF(M544&gt;0,N544*100/M544,0)</f>
        <v>12.236130215497479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218100</v>
      </c>
      <c r="M546" s="45">
        <f t="shared" ca="1" si="240"/>
        <v>218100</v>
      </c>
      <c r="N546" s="45">
        <f t="shared" si="240"/>
        <v>26687</v>
      </c>
      <c r="O546" s="45">
        <f t="shared" ca="1" si="237"/>
        <v>12.236130215497479</v>
      </c>
      <c r="P546" s="45">
        <f t="shared" ca="1" si="238"/>
        <v>12.236130215497479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218100</v>
      </c>
      <c r="M547" s="38">
        <f t="shared" ca="1" si="241"/>
        <v>218100</v>
      </c>
      <c r="N547" s="38">
        <f t="shared" si="241"/>
        <v>26687</v>
      </c>
      <c r="O547" s="38">
        <f t="shared" ca="1" si="237"/>
        <v>12.236130215497479</v>
      </c>
      <c r="P547" s="38">
        <f t="shared" ca="1" si="238"/>
        <v>12.236130215497479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IFERROR(__xludf.DUMMYFUNCTION("IMPORTRANGE(""https://docs.google.com/spreadsheets/d/1QqKyyYR6Q21VydFLVH3TRQUabQu_ym0Zz7PgGX0-kHA/edit?usp=sharing"",""แผน!HB85"")"),218100)</f>
        <v>218100</v>
      </c>
      <c r="M549" s="45">
        <f ca="1">L549</f>
        <v>218100</v>
      </c>
      <c r="N549" s="45">
        <f>N550+N551+N552+N553+N554</f>
        <v>26687</v>
      </c>
      <c r="O549" s="45">
        <f t="shared" ca="1" si="237"/>
        <v>12.236130215497479</v>
      </c>
      <c r="P549" s="45">
        <f t="shared" ca="1" si="238"/>
        <v>12.236130215497479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0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17187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9500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IFERROR(__xludf.DUMMYFUNCTION("IMPORTRANGE(""https://docs.google.com/spreadsheets/d/1QqKyyYR6Q21VydFLVH3TRQUabQu_ym0Zz7PgGX0-kHA/edit?usp=sharing"",""แผน!HF85"")"),0)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 hidden="1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 hidden="1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0</v>
      </c>
      <c r="J559" s="630">
        <f t="shared" si="245"/>
        <v>0</v>
      </c>
      <c r="K559" s="631">
        <f t="shared" ref="K559:K561" ca="1" si="246">IF(I559&gt;0,J559*100/I559,0)</f>
        <v>0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 hidden="1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IFERROR(__xludf.DUMMYFUNCTION("IMPORTRANGE(""https://docs.google.com/spreadsheets/d/1QqKyyYR6Q21VydFLVH3TRQUabQu_ym0Zz7PgGX0-kHA/edit?usp=sharing"",""แผน!HH85"")"),0)</f>
        <v>0</v>
      </c>
      <c r="J560" s="189">
        <f t="shared" ref="J560:J561" si="247">J562+J564+J566</f>
        <v>0</v>
      </c>
      <c r="K560" s="391">
        <f t="shared" ca="1" si="246"/>
        <v>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 hidden="1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IFERROR(__xludf.DUMMYFUNCTION("IMPORTRANGE(""https://docs.google.com/spreadsheets/d/1QqKyyYR6Q21VydFLVH3TRQUabQu_ym0Zz7PgGX0-kHA/edit?usp=sharing"",""แผน!HG85"")"),0)</f>
        <v>0</v>
      </c>
      <c r="J561" s="189">
        <f t="shared" si="247"/>
        <v>0</v>
      </c>
      <c r="K561" s="391">
        <f t="shared" ca="1" si="246"/>
        <v>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 hidden="1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0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 hidden="1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0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 hidden="1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 hidden="1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 hidden="1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0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 hidden="1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0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 hidden="1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IFERROR(__xludf.DUMMYFUNCTION("IMPORTRANGE(""https://docs.google.com/spreadsheets/d/1QqKyyYR6Q21VydFLVH3TRQUabQu_ym0Zz7PgGX0-kHA/edit?usp=sharing"",""แผน!HH85"")"),0)</f>
        <v>0</v>
      </c>
      <c r="J568" s="190">
        <f t="shared" ref="J568:J569" si="248">J570+J572+J574</f>
        <v>0</v>
      </c>
      <c r="K568" s="391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 hidden="1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IFERROR(__xludf.DUMMYFUNCTION("IMPORTRANGE(""https://docs.google.com/spreadsheets/d/1QqKyyYR6Q21VydFLVH3TRQUabQu_ym0Zz7PgGX0-kHA/edit?usp=sharing"",""แผน!HG85"")"),0)</f>
        <v>0</v>
      </c>
      <c r="J569" s="190">
        <f t="shared" si="248"/>
        <v>0</v>
      </c>
      <c r="K569" s="391">
        <f t="shared" ca="1" si="249"/>
        <v>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 hidden="1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 hidden="1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 hidden="1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 hidden="1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 hidden="1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 hidden="1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 hidden="1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IFERROR(__xludf.DUMMYFUNCTION("IMPORTRANGE(""https://docs.google.com/spreadsheets/d/1QqKyyYR6Q21VydFLVH3TRQUabQu_ym0Zz7PgGX0-kHA/edit?usp=sharing"",""แผน!HH85"")"),0)</f>
        <v>0</v>
      </c>
      <c r="J576" s="190">
        <f t="shared" ref="J576:J577" si="250">J578+J580+J582+J588+J590</f>
        <v>0</v>
      </c>
      <c r="K576" s="391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 hidden="1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IFERROR(__xludf.DUMMYFUNCTION("IMPORTRANGE(""https://docs.google.com/spreadsheets/d/1QqKyyYR6Q21VydFLVH3TRQUabQu_ym0Zz7PgGX0-kHA/edit?usp=sharing"",""แผน!HG85"")"),0)</f>
        <v>0</v>
      </c>
      <c r="J577" s="190">
        <f t="shared" si="250"/>
        <v>0</v>
      </c>
      <c r="K577" s="391">
        <f t="shared" ca="1" si="251"/>
        <v>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 hidden="1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 hidden="1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 hidden="1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 hidden="1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 hidden="1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 hidden="1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 hidden="1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 hidden="1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 hidden="1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 hidden="1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 hidden="1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 hidden="1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 hidden="1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 hidden="1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5413.65</v>
      </c>
      <c r="J592" s="630">
        <f t="shared" si="253"/>
        <v>4663</v>
      </c>
      <c r="K592" s="631">
        <f t="shared" ref="K592:K594" ca="1" si="254">IF(I592&gt;0,J592*100/I592,0)</f>
        <v>86.134123927479621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IFERROR(__xludf.DUMMYFUNCTION("IMPORTRANGE(""https://docs.google.com/spreadsheets/d/1QqKyyYR6Q21VydFLVH3TRQUabQu_ym0Zz7PgGX0-kHA/edit?usp=sharing"",""แผน!HJ85"")"),5413.65)</f>
        <v>5413.65</v>
      </c>
      <c r="J593" s="189">
        <f t="shared" ref="J593:J594" si="255">J595+J603+J609</f>
        <v>4663</v>
      </c>
      <c r="K593" s="391">
        <f t="shared" ca="1" si="254"/>
        <v>86.134123927479621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IFERROR(__xludf.DUMMYFUNCTION("IMPORTRANGE(""https://docs.google.com/spreadsheets/d/1QqKyyYR6Q21VydFLVH3TRQUabQu_ym0Zz7PgGX0-kHA/edit?usp=sharing"",""แผน!HI85"")"),507)</f>
        <v>507</v>
      </c>
      <c r="J594" s="189">
        <f t="shared" si="255"/>
        <v>384</v>
      </c>
      <c r="K594" s="391">
        <f t="shared" ca="1" si="254"/>
        <v>75.739644970414204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2183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192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1928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171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255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21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2480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192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 hidden="1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 hidden="1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IFERROR(__xludf.DUMMYFUNCTION("IMPORTRANGE(""https://docs.google.com/spreadsheets/d/1QqKyyYR6Q21VydFLVH3TRQUabQu_ym0Zz7PgGX0-kHA/edit?usp=sharing"",""แผน!HL85"")"),0)</f>
        <v>0</v>
      </c>
      <c r="J620" s="675">
        <f t="shared" ref="J620:J621" si="260">J622+J624+J626</f>
        <v>0</v>
      </c>
      <c r="K620" s="676">
        <f t="shared" ref="K620:K621" ca="1" si="261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 hidden="1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IFERROR(__xludf.DUMMYFUNCTION("IMPORTRANGE(""https://docs.google.com/spreadsheets/d/1QqKyyYR6Q21VydFLVH3TRQUabQu_ym0Zz7PgGX0-kHA/edit?usp=sharing"",""แผน!HK85"")"),0)</f>
        <v>0</v>
      </c>
      <c r="J621" s="675">
        <f t="shared" si="260"/>
        <v>0</v>
      </c>
      <c r="K621" s="676">
        <f t="shared" ca="1" si="261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 hidden="1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 hidden="1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 hidden="1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 hidden="1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 hidden="1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 hidden="1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7</v>
      </c>
      <c r="J628" s="686">
        <f t="shared" ca="1" si="262"/>
        <v>1</v>
      </c>
      <c r="K628" s="687">
        <f ca="1">IF(I628&gt;0,J628*100/I628,0)</f>
        <v>14.285714285714286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164050</v>
      </c>
      <c r="M629" s="191">
        <f t="shared" ca="1" si="263"/>
        <v>164050</v>
      </c>
      <c r="N629" s="191">
        <f t="shared" si="263"/>
        <v>53162.95</v>
      </c>
      <c r="O629" s="191">
        <f t="shared" ref="O629:O634" ca="1" si="264">IF(L629&gt;0,N629*100/L629,0)</f>
        <v>32.406552880219444</v>
      </c>
      <c r="P629" s="191">
        <f t="shared" ref="P629:P634" ca="1" si="265">IF(M629&gt;0,N629*100/M629,0)</f>
        <v>32.406552880219444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164050</v>
      </c>
      <c r="M631" s="45">
        <f t="shared" ca="1" si="266"/>
        <v>164050</v>
      </c>
      <c r="N631" s="45">
        <f t="shared" si="266"/>
        <v>53162.95</v>
      </c>
      <c r="O631" s="45">
        <f t="shared" ca="1" si="264"/>
        <v>32.406552880219444</v>
      </c>
      <c r="P631" s="45">
        <f t="shared" ca="1" si="265"/>
        <v>32.406552880219444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164050</v>
      </c>
      <c r="M632" s="38">
        <f t="shared" ca="1" si="267"/>
        <v>164050</v>
      </c>
      <c r="N632" s="38">
        <f t="shared" si="267"/>
        <v>53162.95</v>
      </c>
      <c r="O632" s="38">
        <f t="shared" ca="1" si="264"/>
        <v>32.406552880219444</v>
      </c>
      <c r="P632" s="38">
        <f t="shared" ca="1" si="265"/>
        <v>32.406552880219444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IFERROR(__xludf.DUMMYFUNCTION("IMPORTRANGE(""https://docs.google.com/spreadsheets/d/1QqKyyYR6Q21VydFLVH3TRQUabQu_ym0Zz7PgGX0-kHA/edit?usp=sharing"",""แผน!HN85"")"),164050)</f>
        <v>164050</v>
      </c>
      <c r="M634" s="45">
        <f ca="1">L634</f>
        <v>164050</v>
      </c>
      <c r="N634" s="45">
        <f>N635+N636+N637+N638</f>
        <v>53162.95</v>
      </c>
      <c r="O634" s="45">
        <f t="shared" ca="1" si="264"/>
        <v>32.406552880219444</v>
      </c>
      <c r="P634" s="45">
        <f t="shared" ca="1" si="265"/>
        <v>32.406552880219444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53162.95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IFERROR(__xludf.DUMMYFUNCTION("IMPORTRANGE(""https://docs.google.com/spreadsheets/d/1QqKyyYR6Q21VydFLVH3TRQUabQu_ym0Zz7PgGX0-kHA/edit?usp=sharing"",""แผน!HQ85"")"),0)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IFERROR(__xludf.DUMMYFUNCTION("IMPORTRANGE(""https://docs.google.com/spreadsheets/d/1QqKyyYR6Q21VydFLVH3TRQUabQu_ym0Zz7PgGX0-kHA/edit?usp=sharing"",""แผน!HR85"")"),0)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IFERROR(__xludf.DUMMYFUNCTION("IMPORTRANGE(""https://docs.google.com/spreadsheets/d/1QqKyyYR6Q21VydFLVH3TRQUabQu_ym0Zz7PgGX0-kHA/edit?usp=sharing"",""แผน!HR85"")"),0)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IFERROR(__xludf.DUMMYFUNCTION("IMPORTRANGE(""https://docs.google.com/spreadsheets/d/1XWAQStnk-4SwqDmLtmXYiTMKHgktTP8We1SCoS47DrQ/edit?usp=sharing"",""จัดที่ดิน!AS85"")"),7)</f>
        <v>7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IFERROR(__xludf.DUMMYFUNCTION("IMPORTRANGE(""https://docs.google.com/spreadsheets/d/1XWAQStnk-4SwqDmLtmXYiTMKHgktTP8We1SCoS47DrQ/edit?usp=sharing"",""จัดที่ดิน!AT85"")"),1.62)</f>
        <v>1.62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IFERROR(__xludf.DUMMYFUNCTION("IMPORTRANGE(""https://docs.google.com/spreadsheets/d/1QqKyyYR6Q21VydFLVH3TRQUabQu_ym0Zz7PgGX0-kHA/edit?usp=sharing"",""แผน!HS85"")"),7)</f>
        <v>7</v>
      </c>
      <c r="J647" s="37">
        <f ca="1">IFERROR(__xludf.DUMMYFUNCTION("IMPORTRANGE(""https://docs.google.com/spreadsheets/d/1XWAQStnk-4SwqDmLtmXYiTMKHgktTP8We1SCoS47DrQ/edit?usp=sharing"",""จัดที่ดิน!AU85"")"),0)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IFERROR(__xludf.DUMMYFUNCTION("IMPORTRANGE(""https://docs.google.com/spreadsheets/d/1XWAQStnk-4SwqDmLtmXYiTMKHgktTP8We1SCoS47DrQ/edit?usp=sharing"",""จัดที่ดิน!AV85"")"),0)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IFERROR(__xludf.DUMMYFUNCTION("IMPORTRANGE(""https://docs.google.com/spreadsheets/d/1QqKyyYR6Q21VydFLVH3TRQUabQu_ym0Zz7PgGX0-kHA/edit?usp=sharing"",""แผน!HS85"")"),7)</f>
        <v>7</v>
      </c>
      <c r="J649" s="37">
        <f ca="1">IFERROR(__xludf.DUMMYFUNCTION("IMPORTRANGE(""https://docs.google.com/spreadsheets/d/1XWAQStnk-4SwqDmLtmXYiTMKHgktTP8We1SCoS47DrQ/edit?usp=sharing"",""จัดที่ดิน!AW85"")"),0)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IFERROR(__xludf.DUMMYFUNCTION("IMPORTRANGE(""https://docs.google.com/spreadsheets/d/1XWAQStnk-4SwqDmLtmXYiTMKHgktTP8We1SCoS47DrQ/edit?usp=sharing"",""จัดที่ดิน!AX85"")"),0)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IFERROR(__xludf.DUMMYFUNCTION("IMPORTRANGE(""https://docs.google.com/spreadsheets/d/1QqKyyYR6Q21VydFLVH3TRQUabQu_ym0Zz7PgGX0-kHA/edit?usp=sharing"",""แผน!HS85"")"),7)</f>
        <v>7</v>
      </c>
      <c r="J651" s="37">
        <f ca="1">IFERROR(__xludf.DUMMYFUNCTION("IMPORTRANGE(""https://docs.google.com/spreadsheets/d/1XWAQStnk-4SwqDmLtmXYiTMKHgktTP8We1SCoS47DrQ/edit?usp=sharing"",""จัดที่ดิน!AY85"")"),1)</f>
        <v>1</v>
      </c>
      <c r="K651" s="162">
        <f t="shared" ca="1" si="271"/>
        <v>14.285714285714286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IFERROR(__xludf.DUMMYFUNCTION("IMPORTRANGE(""https://docs.google.com/spreadsheets/d/1XWAQStnk-4SwqDmLtmXYiTMKHgktTP8We1SCoS47DrQ/edit?usp=sharing"",""จัดที่ดิน!AZ85"")"),2)</f>
        <v>2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 hidden="1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 hidden="1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 hidden="1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 hidden="1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IFERROR(__xludf.DUMMYFUNCTION("IMPORTRANGE(""https://docs.google.com/spreadsheets/d/1QqKyyYR6Q21VydFLVH3TRQUabQu_ym0Zz7PgGX0-kHA/edit?usp=sharing"",""แผน!HV85"")"),0)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 hidden="1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 hidden="1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 hidden="1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 hidden="1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 hidden="1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 hidden="1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 hidden="1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IFERROR(__xludf.DUMMYFUNCTION("IMPORTRANGE(""https://docs.google.com/spreadsheets/d/1QqKyyYR6Q21VydFLVH3TRQUabQu_ym0Zz7PgGX0-kHA/edit?usp=sharing"",""แผน!IA85"")"),0)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 hidden="1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IFERROR(__xludf.DUMMYFUNCTION("IMPORTRANGE(""https://docs.google.com/spreadsheets/d/1QqKyyYR6Q21VydFLVH3TRQUabQu_ym0Zz7PgGX0-kHA/edit?usp=sharing"",""แผน!HZ85"")"),0)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 hidden="1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IFERROR(__xludf.DUMMYFUNCTION("IMPORTRANGE(""https://docs.google.com/spreadsheets/d/1QqKyyYR6Q21VydFLVH3TRQUabQu_ym0Zz7PgGX0-kHA/edit?usp=sharing"",""แผน!HZ85"")"),0)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 hidden="1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 hidden="1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 hidden="1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 hidden="1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 hidden="1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 hidden="1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 hidden="1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IFERROR(__xludf.DUMMYFUNCTION("IMPORTRANGE(""https://docs.google.com/spreadsheets/d/1QqKyyYR6Q21VydFLVH3TRQUabQu_ym0Zz7PgGX0-kHA/edit?usp=sharing"",""แผน!IB85"")"),0)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 hidden="1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 hidden="1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 hidden="1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 hidden="1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 hidden="1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 hidden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 hidden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 hidden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IFERROR(__xludf.DUMMYFUNCTION("IMPORTRANGE(""https://docs.google.com/spreadsheets/d/1QqKyyYR6Q21VydFLVH3TRQUabQu_ym0Zz7PgGX0-kHA/edit?usp=sharing"",""แผน!HW85"")"),0)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 hidden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 hidden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 hidden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 hidden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 hidden="1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 hidden="1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 hidden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IFERROR(__xludf.DUMMYFUNCTION("IMPORTRANGE(""https://docs.google.com/spreadsheets/d/1QqKyyYR6Q21VydFLVH3TRQUabQu_ym0Zz7PgGX0-kHA/edit?usp=sharing"",""แผน!IC85"")"),0)</f>
        <v>0</v>
      </c>
      <c r="J699" s="37">
        <f ca="1">IFERROR(__xludf.DUMMYFUNCTION("IMPORTRANGE(""https://docs.google.com/spreadsheets/d/1XWAQStnk-4SwqDmLtmXYiTMKHgktTP8We1SCoS47DrQ/edit?usp=sharing"",""จัดที่ดิน!BB85"")"),0)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 hidden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IFERROR(__xludf.DUMMYFUNCTION("IMPORTRANGE(""https://docs.google.com/spreadsheets/d/1QqKyyYR6Q21VydFLVH3TRQUabQu_ym0Zz7PgGX0-kHA/edit?usp=sharing"",""แผน!ID85"")"),0)</f>
        <v>0</v>
      </c>
      <c r="J700" s="37">
        <f ca="1">IFERROR(__xludf.DUMMYFUNCTION("IMPORTRANGE(""https://docs.google.com/spreadsheets/d/1XWAQStnk-4SwqDmLtmXYiTMKHgktTP8We1SCoS47DrQ/edit?usp=sharing"",""จัดที่ดิน!BD85"")"),0)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 hidden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IFERROR(__xludf.DUMMYFUNCTION("IMPORTRANGE(""https://docs.google.com/spreadsheets/d/1QqKyyYR6Q21VydFLVH3TRQUabQu_ym0Zz7PgGX0-kHA/edit?usp=sharing"",""แผน!IE85"")"),0)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 hidden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 hidden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 hidden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IFERROR(__xludf.DUMMYFUNCTION("IMPORTRANGE(""https://docs.google.com/spreadsheets/d/1QqKyyYR6Q21VydFLVH3TRQUabQu_ym0Zz7PgGX0-kHA/edit?usp=sharing"",""แผน!IF85"")"),0)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 hidden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 hidden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 hidden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IFERROR(__xludf.DUMMYFUNCTION("IMPORTRANGE(""https://docs.google.com/spreadsheets/d/1QqKyyYR6Q21VydFLVH3TRQUabQu_ym0Zz7PgGX0-kHA/edit?usp=sharing"",""แผน!IG85"")"),0)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 hidden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IFERROR(__xludf.DUMMYFUNCTION("IMPORTRANGE(""https://docs.google.com/spreadsheets/d/1QqKyyYR6Q21VydFLVH3TRQUabQu_ym0Zz7PgGX0-kHA/edit?usp=sharing"",""แผน!IH85"")"),0)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 hidden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 hidden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 hidden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 hidden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 hidden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 hidden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 hidden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 hidden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 hidden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 hidden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IFERROR(__xludf.DUMMYFUNCTION("IMPORTRANGE(""https://docs.google.com/spreadsheets/d/1XWAQStnk-4SwqDmLtmXYiTMKHgktTP8We1SCoS47DrQ/edit?usp=sharing"",""จัดที่ดิน!BF85"")"),0)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 hidden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IFERROR(__xludf.DUMMYFUNCTION("IMPORTRANGE(""https://docs.google.com/spreadsheets/d/1XWAQStnk-4SwqDmLtmXYiTMKHgktTP8We1SCoS47DrQ/edit?usp=sharing"",""จัดที่ดิน!BG85"")"),0)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 hidden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IFERROR(__xludf.DUMMYFUNCTION("IMPORTRANGE(""https://docs.google.com/spreadsheets/d/1QqKyyYR6Q21VydFLVH3TRQUabQu_ym0Zz7PgGX0-kHA/edit?usp=sharing"",""แผน!II85"")"),0)</f>
        <v>0</v>
      </c>
      <c r="J720" s="37">
        <f ca="1">IFERROR(__xludf.DUMMYFUNCTION("IMPORTRANGE(""https://docs.google.com/spreadsheets/d/1XWAQStnk-4SwqDmLtmXYiTMKHgktTP8We1SCoS47DrQ/edit?usp=sharing"",""จัดที่ดิน!BH85"")"),0)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 hidden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IFERROR(__xludf.DUMMYFUNCTION("IMPORTRANGE(""https://docs.google.com/spreadsheets/d/1QqKyyYR6Q21VydFLVH3TRQUabQu_ym0Zz7PgGX0-kHA/edit?usp=sharing"",""แผน!IJ85"")"),0)</f>
        <v>0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 hidden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IFERROR(__xludf.DUMMYFUNCTION("IMPORTRANGE(""https://docs.google.com/spreadsheets/d/1QqKyyYR6Q21VydFLVH3TRQUabQu_ym0Zz7PgGX0-kHA/edit?usp=sharing"",""แผน!IK85"")"),0)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 hidden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IFERROR(__xludf.DUMMYFUNCTION("IMPORTRANGE(""https://docs.google.com/spreadsheets/d/1QqKyyYR6Q21VydFLVH3TRQUabQu_ym0Zz7PgGX0-kHA/edit?usp=sharing"",""แผน!IL85"")"),0)</f>
        <v>0</v>
      </c>
      <c r="J723" s="37">
        <f ca="1">IFERROR(__xludf.DUMMYFUNCTION("IMPORTRANGE(""https://docs.google.com/spreadsheets/d/1XWAQStnk-4SwqDmLtmXYiTMKHgktTP8We1SCoS47DrQ/edit?usp=sharing"",""จัดที่ดิน!BM85"")"),0)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 hidden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IFERROR(__xludf.DUMMYFUNCTION("IMPORTRANGE(""https://docs.google.com/spreadsheets/d/1XWAQStnk-4SwqDmLtmXYiTMKHgktTP8We1SCoS47DrQ/edit?usp=sharing"",""จัดที่ดิน!BN85"")"),0)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 hidden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IFERROR(__xludf.DUMMYFUNCTION("IMPORTRANGE(""https://docs.google.com/spreadsheets/d/1QqKyyYR6Q21VydFLVH3TRQUabQu_ym0Zz7PgGX0-kHA/edit?usp=sharing"",""แผน!IM85"")"),0)</f>
        <v>0</v>
      </c>
      <c r="J725" s="37">
        <f ca="1">IFERROR(__xludf.DUMMYFUNCTION("IMPORTRANGE(""https://docs.google.com/spreadsheets/d/1XWAQStnk-4SwqDmLtmXYiTMKHgktTP8We1SCoS47DrQ/edit?usp=sharing"",""จัดที่ดิน!BO85"")"),0)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 hidden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IFERROR(__xludf.DUMMYFUNCTION("IMPORTRANGE(""https://docs.google.com/spreadsheets/d/1QqKyyYR6Q21VydFLVH3TRQUabQu_ym0Zz7PgGX0-kHA/edit?usp=sharing"",""แผน!IN85"")"),0)</f>
        <v>0</v>
      </c>
      <c r="J726" s="37">
        <f ca="1">IFERROR(__xludf.DUMMYFUNCTION("IMPORTRANGE(""https://docs.google.com/spreadsheets/d/1XWAQStnk-4SwqDmLtmXYiTMKHgktTP8We1SCoS47DrQ/edit?usp=sharing"",""จัดที่ดิน!BR85"")"),0)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 hidden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IFERROR(__xludf.DUMMYFUNCTION("IMPORTRANGE(""https://docs.google.com/spreadsheets/d/1XWAQStnk-4SwqDmLtmXYiTMKHgktTP8We1SCoS47DrQ/edit?usp=sharing"",""จัดที่ดิน!BS85"")"),0)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 hidden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IFERROR(__xludf.DUMMYFUNCTION("IMPORTRANGE(""https://docs.google.com/spreadsheets/d/1QqKyyYR6Q21VydFLVH3TRQUabQu_ym0Zz7PgGX0-kHA/edit?usp=sharing"",""แผน!IO85"")"),0)</f>
        <v>0</v>
      </c>
      <c r="J728" s="37">
        <f ca="1">IFERROR(__xludf.DUMMYFUNCTION("IMPORTRANGE(""https://docs.google.com/spreadsheets/d/1XWAQStnk-4SwqDmLtmXYiTMKHgktTP8We1SCoS47DrQ/edit?usp=sharing"",""จัดที่ดิน!BT85"")"),0)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 hidden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IFERROR(__xludf.DUMMYFUNCTION("IMPORTRANGE(""https://docs.google.com/spreadsheets/d/1QqKyyYR6Q21VydFLVH3TRQUabQu_ym0Zz7PgGX0-kHA/edit?usp=sharing"",""แผน!IP85"")"),0)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 hidden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 hidden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 hidden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 hidden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 hidden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 hidden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IFERROR(__xludf.DUMMYFUNCTION("IMPORTRANGE(""https://docs.google.com/spreadsheets/d/1QqKyyYR6Q21VydFLVH3TRQUabQu_ym0Zz7PgGX0-kHA/edit?usp=sharing"",""แผน!JJ85"")"),0)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IFERROR(__xludf.DUMMYFUNCTION("IMPORTRANGE(""https://docs.google.com/spreadsheets/d/1QqKyyYR6Q21VydFLVH3TRQUabQu_ym0Zz7PgGX0-kHA/edit?usp=sharing"",""แผน!JN85"")"),0)</f>
        <v>0</v>
      </c>
      <c r="J800" s="161">
        <f ca="1">IFERROR(__xludf.DUMMYFUNCTION("IMPORTRANGE(""https://docs.google.com/spreadsheets/d/1MaWodYyGHDf7siQLGxnXhG4mBNTNIuy296niS2xXulU/edit?usp=sharing"",""RTK!H85"")"),0)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IFERROR(__xludf.DUMMYFUNCTION("IMPORTRANGE(""https://docs.google.com/spreadsheets/d/1MaWodYyGHDf7siQLGxnXhG4mBNTNIuy296niS2xXulU/edit?usp=sharing"",""RTK!I85"")"),0)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341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37">
        <f ca="1">IFERROR(__xludf.DUMMYFUNCTION("IMPORTRANGE(""https://docs.google.com/spreadsheets/d/19vJNZY_5yjcGF2XGBMNZRCAIB0Kwfpjp8YEOfu-bneM/edit?usp=sharing"",""งานกองทุน!F85"")"),955517.6)</f>
        <v>955517.6</v>
      </c>
      <c r="K821" s="38">
        <f t="shared" ref="K821:K828" ca="1" si="335">IF(I821&gt;0,J821*100/I821,0)</f>
        <v>78.426096441063862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IFERROR(__xludf.DUMMYFUNCTION("IMPORTRANGE(""https://docs.google.com/spreadsheets/d/19vJNZY_5yjcGF2XGBMNZRCAIB0Kwfpjp8YEOfu-bneM/edit?usp=sharing"",""งานกองทุน!C85"")"),122)</f>
        <v>122</v>
      </c>
      <c r="J822" s="37">
        <f ca="1">IFERROR(__xludf.DUMMYFUNCTION("IMPORTRANGE(""https://docs.google.com/spreadsheets/d/19vJNZY_5yjcGF2XGBMNZRCAIB0Kwfpjp8YEOfu-bneM/edit?usp=sharing"",""งานกองทุน!E85"")"),94)</f>
        <v>94</v>
      </c>
      <c r="K822" s="38">
        <f t="shared" ca="1" si="335"/>
        <v>77.049180327868854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37">
        <f ca="1">IFERROR(__xludf.DUMMYFUNCTION("IMPORTRANGE(""https://docs.google.com/spreadsheets/d/19vJNZY_5yjcGF2XGBMNZRCAIB0Kwfpjp8YEOfu-bneM/edit?usp=sharing"",""งานกองทุน!K85"")"),485049.84)</f>
        <v>485049.84</v>
      </c>
      <c r="K823" s="38">
        <f t="shared" ca="1" si="335"/>
        <v>23.694892186568499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IFERROR(__xludf.DUMMYFUNCTION("IMPORTRANGE(""https://docs.google.com/spreadsheets/d/19vJNZY_5yjcGF2XGBMNZRCAIB0Kwfpjp8YEOfu-bneM/edit?usp=sharing"",""งานกองทุน!H85"")"),124)</f>
        <v>124</v>
      </c>
      <c r="J824" s="37">
        <f ca="1">IFERROR(__xludf.DUMMYFUNCTION("IMPORTRANGE(""https://docs.google.com/spreadsheets/d/19vJNZY_5yjcGF2XGBMNZRCAIB0Kwfpjp8YEOfu-bneM/edit?usp=sharing"",""งานกองทุน!J85"")"),59)</f>
        <v>59</v>
      </c>
      <c r="K824" s="38">
        <f t="shared" ca="1" si="335"/>
        <v>47.58064516129032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IFERROR(__xludf.DUMMYFUNCTION("IMPORTRANGE(""https://docs.google.com/spreadsheets/d/19vJNZY_5yjcGF2XGBMNZRCAIB0Kwfpjp8YEOfu-bneM/edit?usp=sharing"",""งานกองทุน!N85"")"),0)</f>
        <v>0</v>
      </c>
      <c r="J825" s="37">
        <f ca="1">IFERROR(__xludf.DUMMYFUNCTION("IMPORTRANGE(""https://docs.google.com/spreadsheets/d/19vJNZY_5yjcGF2XGBMNZRCAIB0Kwfpjp8YEOfu-bneM/edit?usp=sharing"",""งานกองทุน!P85"")"),0)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IFERROR(__xludf.DUMMYFUNCTION("IMPORTRANGE(""https://docs.google.com/spreadsheets/d/19vJNZY_5yjcGF2XGBMNZRCAIB0Kwfpjp8YEOfu-bneM/edit?usp=sharing"",""งานกองทุน!M85"")"),0)</f>
        <v>0</v>
      </c>
      <c r="J826" s="37">
        <f ca="1">IFERROR(__xludf.DUMMYFUNCTION("IMPORTRANGE(""https://docs.google.com/spreadsheets/d/19vJNZY_5yjcGF2XGBMNZRCAIB0Kwfpjp8YEOfu-bneM/edit?usp=sharing"",""งานกองทุน!O85"")"),0)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IFERROR(__xludf.DUMMYFUNCTION("IMPORTRANGE(""https://docs.google.com/spreadsheets/d/19vJNZY_5yjcGF2XGBMNZRCAIB0Kwfpjp8YEOfu-bneM/edit?usp=sharing"",""งานกองทุน!S85"")"),1700000)</f>
        <v>1700000</v>
      </c>
      <c r="J827" s="37">
        <f ca="1">IFERROR(__xludf.DUMMYFUNCTION("IMPORTRANGE(""https://docs.google.com/spreadsheets/d/19vJNZY_5yjcGF2XGBMNZRCAIB0Kwfpjp8YEOfu-bneM/edit?usp=sharing"",""งานกองทุน!U85"")"),1400000)</f>
        <v>1400000</v>
      </c>
      <c r="K827" s="38">
        <f t="shared" ca="1" si="335"/>
        <v>82.352941176470594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IFERROR(__xludf.DUMMYFUNCTION("IMPORTRANGE(""https://docs.google.com/spreadsheets/d/19vJNZY_5yjcGF2XGBMNZRCAIB0Kwfpjp8YEOfu-bneM/edit?usp=sharing"",""งานกองทุน!R85"")"),68)</f>
        <v>68</v>
      </c>
      <c r="J828" s="365">
        <f ca="1">IFERROR(__xludf.DUMMYFUNCTION("IMPORTRANGE(""https://docs.google.com/spreadsheets/d/19vJNZY_5yjcGF2XGBMNZRCAIB0Kwfpjp8YEOfu-bneM/edit?usp=sharing"",""งานกองทุน!T85"")"),56)</f>
        <v>56</v>
      </c>
      <c r="K828" s="475">
        <f t="shared" ca="1" si="335"/>
        <v>82.352941176470594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7FE3F-4057-44BB-95FD-8392BC3EC86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351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5265083</v>
      </c>
      <c r="M8" s="22">
        <f t="shared" ca="1" si="0"/>
        <v>5653369</v>
      </c>
      <c r="N8" s="22">
        <f t="shared" ca="1" si="0"/>
        <v>5113233.84</v>
      </c>
      <c r="O8" s="22">
        <f t="shared" ref="O8:O16" ca="1" si="1">IF(L8&gt;0,N8*100/L8,0)</f>
        <v>97.115920869623523</v>
      </c>
      <c r="P8" s="22">
        <f t="shared" ref="P8:P16" ca="1" si="2">IF(M8&gt;0,N8*100/M8,0)</f>
        <v>90.445782682856901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5265083</v>
      </c>
      <c r="M10" s="30">
        <f t="shared" ca="1" si="3"/>
        <v>5653369</v>
      </c>
      <c r="N10" s="30">
        <f t="shared" ca="1" si="3"/>
        <v>5113233.84</v>
      </c>
      <c r="O10" s="30">
        <f t="shared" ca="1" si="1"/>
        <v>97.115920869623523</v>
      </c>
      <c r="P10" s="30">
        <f t="shared" ca="1" si="2"/>
        <v>90.445782682856901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5094383</v>
      </c>
      <c r="M11" s="38">
        <f t="shared" ca="1" si="4"/>
        <v>5386649</v>
      </c>
      <c r="N11" s="38">
        <f t="shared" ca="1" si="4"/>
        <v>4923273.84</v>
      </c>
      <c r="O11" s="38">
        <f t="shared" ca="1" si="1"/>
        <v>96.641219162359803</v>
      </c>
      <c r="P11" s="38">
        <f t="shared" ca="1" si="2"/>
        <v>91.39771015338107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5094383</v>
      </c>
      <c r="M13" s="45">
        <f t="shared" ca="1" si="5"/>
        <v>5386649</v>
      </c>
      <c r="N13" s="45">
        <f t="shared" ca="1" si="5"/>
        <v>4923273.84</v>
      </c>
      <c r="O13" s="45">
        <f t="shared" ca="1" si="1"/>
        <v>96.641219162359803</v>
      </c>
      <c r="P13" s="45">
        <f t="shared" ca="1" si="2"/>
        <v>91.39771015338107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170700</v>
      </c>
      <c r="M14" s="38">
        <f t="shared" ca="1" si="6"/>
        <v>266720</v>
      </c>
      <c r="N14" s="38">
        <f t="shared" ca="1" si="6"/>
        <v>189960</v>
      </c>
      <c r="O14" s="38">
        <f t="shared" ca="1" si="1"/>
        <v>111.2829525483304</v>
      </c>
      <c r="P14" s="38">
        <f t="shared" ca="1" si="2"/>
        <v>71.220755848830237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266720</v>
      </c>
      <c r="N16" s="52">
        <f t="shared" ca="1" si="7"/>
        <v>189960</v>
      </c>
      <c r="O16" s="52">
        <f t="shared" ca="1" si="1"/>
        <v>111.2829525483304</v>
      </c>
      <c r="P16" s="52">
        <f t="shared" ca="1" si="2"/>
        <v>71.220755848830237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3771016</v>
      </c>
      <c r="N18" s="22">
        <f t="shared" ca="1" si="8"/>
        <v>3072082.1399999997</v>
      </c>
      <c r="O18" s="22">
        <f t="shared" ref="O18:O26" ca="1" si="9">IF(L18&gt;0,N18*100/L18,0)</f>
        <v>90.816652230594798</v>
      </c>
      <c r="P18" s="22">
        <f t="shared" ref="P18:P26" ca="1" si="10">IF(M18&gt;0,N18*100/M18,0)</f>
        <v>81.465635255856768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3771016</v>
      </c>
      <c r="N20" s="30">
        <f t="shared" ca="1" si="11"/>
        <v>3072082.1399999997</v>
      </c>
      <c r="O20" s="30">
        <f t="shared" ca="1" si="9"/>
        <v>90.816652230594798</v>
      </c>
      <c r="P20" s="30">
        <f t="shared" ca="1" si="10"/>
        <v>81.465635255856768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3212030</v>
      </c>
      <c r="M21" s="38">
        <f t="shared" ca="1" si="12"/>
        <v>3504296</v>
      </c>
      <c r="N21" s="38">
        <f t="shared" ca="1" si="12"/>
        <v>2882122.1399999997</v>
      </c>
      <c r="O21" s="38">
        <f t="shared" ca="1" si="9"/>
        <v>89.728991945903346</v>
      </c>
      <c r="P21" s="38">
        <f t="shared" ca="1" si="10"/>
        <v>82.245396507600944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3212030</v>
      </c>
      <c r="M23" s="45">
        <f t="shared" ca="1" si="13"/>
        <v>3504296</v>
      </c>
      <c r="N23" s="45">
        <f t="shared" ca="1" si="13"/>
        <v>2882122.1399999997</v>
      </c>
      <c r="O23" s="45">
        <f t="shared" ca="1" si="9"/>
        <v>89.728991945903346</v>
      </c>
      <c r="P23" s="45">
        <f t="shared" ca="1" si="10"/>
        <v>82.245396507600944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170700</v>
      </c>
      <c r="M24" s="38">
        <f t="shared" ca="1" si="14"/>
        <v>266720</v>
      </c>
      <c r="N24" s="38">
        <f t="shared" ca="1" si="14"/>
        <v>189960</v>
      </c>
      <c r="O24" s="38">
        <f t="shared" ca="1" si="9"/>
        <v>111.2829525483304</v>
      </c>
      <c r="P24" s="38">
        <f t="shared" ca="1" si="10"/>
        <v>71.220755848830237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266720</v>
      </c>
      <c r="N26" s="52">
        <f t="shared" ca="1" si="15"/>
        <v>189960</v>
      </c>
      <c r="O26" s="52">
        <f t="shared" ca="1" si="9"/>
        <v>111.2829525483304</v>
      </c>
      <c r="P26" s="52">
        <f t="shared" ca="1" si="10"/>
        <v>71.220755848830237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1882353</v>
      </c>
      <c r="M28" s="22">
        <f t="shared" ca="1" si="16"/>
        <v>1882353</v>
      </c>
      <c r="N28" s="22">
        <f t="shared" si="16"/>
        <v>2041151.7</v>
      </c>
      <c r="O28" s="22">
        <f t="shared" ref="O28:O37" ca="1" si="17">IF(L28&gt;0,N28*100/L28,0)</f>
        <v>108.43618067386936</v>
      </c>
      <c r="P28" s="22">
        <f t="shared" ref="P28:P37" ca="1" si="18">IF(M28&gt;0,N28*100/M28,0)</f>
        <v>108.43618067386936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1882353</v>
      </c>
      <c r="M30" s="30">
        <f t="shared" ca="1" si="19"/>
        <v>1882353</v>
      </c>
      <c r="N30" s="30">
        <f t="shared" si="19"/>
        <v>2041151.7</v>
      </c>
      <c r="O30" s="30">
        <f t="shared" ca="1" si="17"/>
        <v>108.43618067386936</v>
      </c>
      <c r="P30" s="30">
        <f t="shared" ca="1" si="18"/>
        <v>108.43618067386936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1882353</v>
      </c>
      <c r="M31" s="38">
        <f t="shared" ca="1" si="20"/>
        <v>1882353</v>
      </c>
      <c r="N31" s="38">
        <f t="shared" si="20"/>
        <v>2041151.7</v>
      </c>
      <c r="O31" s="38">
        <f t="shared" ca="1" si="17"/>
        <v>108.43618067386936</v>
      </c>
      <c r="P31" s="38">
        <f t="shared" ca="1" si="18"/>
        <v>108.43618067386936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1882353</v>
      </c>
      <c r="M33" s="45">
        <f t="shared" ca="1" si="21"/>
        <v>1882353</v>
      </c>
      <c r="N33" s="45">
        <f t="shared" si="21"/>
        <v>2041151.7</v>
      </c>
      <c r="O33" s="45">
        <f t="shared" ca="1" si="17"/>
        <v>108.43618067386936</v>
      </c>
      <c r="P33" s="45">
        <f t="shared" ca="1" si="18"/>
        <v>108.43618067386936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3382730</v>
      </c>
      <c r="M37" s="792">
        <f t="shared" ca="1" si="24"/>
        <v>3771016</v>
      </c>
      <c r="N37" s="792">
        <f t="shared" ca="1" si="24"/>
        <v>3072082.1399999997</v>
      </c>
      <c r="O37" s="792">
        <f t="shared" ca="1" si="17"/>
        <v>90.816652230594798</v>
      </c>
      <c r="P37" s="792">
        <f t="shared" ca="1" si="18"/>
        <v>81.465635255856768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719666</v>
      </c>
      <c r="N41" s="85">
        <f t="shared" ca="1" si="25"/>
        <v>591266</v>
      </c>
      <c r="O41" s="85">
        <f t="shared" ref="O41:O49" ca="1" si="26">IF(L41&gt;0,N41*100/L41,0)</f>
        <v>100.07887610020312</v>
      </c>
      <c r="P41" s="85">
        <f t="shared" ref="P41:P49" ca="1" si="27">IF(M41&gt;0,N41*100/M41,0)</f>
        <v>82.158390142093694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719666</v>
      </c>
      <c r="N43" s="92">
        <f t="shared" ca="1" si="28"/>
        <v>591266</v>
      </c>
      <c r="O43" s="92">
        <f t="shared" ca="1" si="26"/>
        <v>100.07887610020312</v>
      </c>
      <c r="P43" s="92">
        <f t="shared" ca="1" si="27"/>
        <v>82.158390142093694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590800</v>
      </c>
      <c r="M44" s="38">
        <f t="shared" ca="1" si="29"/>
        <v>719666</v>
      </c>
      <c r="N44" s="38">
        <f t="shared" ca="1" si="29"/>
        <v>591266</v>
      </c>
      <c r="O44" s="38">
        <f t="shared" ca="1" si="26"/>
        <v>100.07887610020312</v>
      </c>
      <c r="P44" s="38">
        <f t="shared" ca="1" si="27"/>
        <v>82.158390142093694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IFERROR(__xludf.DUMMYFUNCTION("IMPORTRANGE(""https://docs.google.com/spreadsheets/d/1MeEWN-I1oV_STSDYn1IFDPWt_1FKiwhDph83XaGc0o0/edit?usp=sharing"",""งบพรบ!M86"")"),590800)</f>
        <v>590800</v>
      </c>
      <c r="M46" s="45">
        <f ca="1">IFERROR(__xludf.DUMMYFUNCTION("IMPORTRANGE(""https://docs.google.com/spreadsheets/d/1MeEWN-I1oV_STSDYn1IFDPWt_1FKiwhDph83XaGc0o0/edit?usp=sharing"",""งบพรบ!R86"")"),719666)</f>
        <v>719666</v>
      </c>
      <c r="N46" s="45">
        <f ca="1">IFERROR(__xludf.DUMMYFUNCTION("IMPORTRANGE(""https://docs.google.com/spreadsheets/d/1MeEWN-I1oV_STSDYn1IFDPWt_1FKiwhDph83XaGc0o0/edit?usp=sharing"",""งบพรบ!T86"")"),591266)</f>
        <v>591266</v>
      </c>
      <c r="O46" s="45">
        <f t="shared" ca="1" si="26"/>
        <v>100.07887610020312</v>
      </c>
      <c r="P46" s="45">
        <f t="shared" ca="1" si="27"/>
        <v>82.158390142093694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706700</v>
      </c>
      <c r="M53" s="115">
        <f t="shared" ca="1" si="31"/>
        <v>723700</v>
      </c>
      <c r="N53" s="115">
        <f t="shared" ca="1" si="31"/>
        <v>669020.68999999994</v>
      </c>
      <c r="O53" s="115">
        <f t="shared" ref="O53:O61" ca="1" si="32">IF(L53&gt;0,N53*100/L53,0)</f>
        <v>94.668273666336489</v>
      </c>
      <c r="P53" s="115">
        <f t="shared" ref="P53:P61" ca="1" si="33">IF(M53&gt;0,N53*100/M53,0)</f>
        <v>92.444478375017269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706700</v>
      </c>
      <c r="M55" s="122">
        <f t="shared" ca="1" si="34"/>
        <v>723700</v>
      </c>
      <c r="N55" s="122">
        <f t="shared" ca="1" si="34"/>
        <v>669020.68999999994</v>
      </c>
      <c r="O55" s="122">
        <f t="shared" ca="1" si="32"/>
        <v>94.668273666336489</v>
      </c>
      <c r="P55" s="122">
        <f t="shared" ca="1" si="33"/>
        <v>92.444478375017269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676800</v>
      </c>
      <c r="M56" s="38">
        <f t="shared" ca="1" si="35"/>
        <v>693800</v>
      </c>
      <c r="N56" s="38">
        <f t="shared" ca="1" si="35"/>
        <v>639120.68999999994</v>
      </c>
      <c r="O56" s="38">
        <f t="shared" ca="1" si="32"/>
        <v>94.432726063829776</v>
      </c>
      <c r="P56" s="38">
        <f t="shared" ca="1" si="33"/>
        <v>92.118865667339279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IFERROR(__xludf.DUMMYFUNCTION("IMPORTRANGE(""https://docs.google.com/spreadsheets/d/1MeEWN-I1oV_STSDYn1IFDPWt_1FKiwhDph83XaGc0o0/edit?usp=sharing"",""งบพรบ!W86"")"),676800)</f>
        <v>676800</v>
      </c>
      <c r="M58" s="45">
        <f ca="1">IFERROR(__xludf.DUMMYFUNCTION("IMPORTRANGE(""https://docs.google.com/spreadsheets/d/1MeEWN-I1oV_STSDYn1IFDPWt_1FKiwhDph83XaGc0o0/edit?usp=sharing"",""งบพรบ!AB86"")"),693800)</f>
        <v>693800</v>
      </c>
      <c r="N58" s="45">
        <f ca="1">IFERROR(__xludf.DUMMYFUNCTION("IMPORTRANGE(""https://docs.google.com/spreadsheets/d/1MeEWN-I1oV_STSDYn1IFDPWt_1FKiwhDph83XaGc0o0/edit?usp=sharing"",""งบพรบ!AD86"")"),639120.69)</f>
        <v>639120.68999999994</v>
      </c>
      <c r="O58" s="45">
        <f t="shared" ca="1" si="32"/>
        <v>94.432726063829776</v>
      </c>
      <c r="P58" s="45">
        <f t="shared" ca="1" si="33"/>
        <v>92.118865667339279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29900</v>
      </c>
      <c r="M59" s="38">
        <f t="shared" ca="1" si="36"/>
        <v>29900</v>
      </c>
      <c r="N59" s="38">
        <f t="shared" ca="1" si="36"/>
        <v>29900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IFERROR(__xludf.DUMMYFUNCTION("IMPORTRANGE(""https://docs.google.com/spreadsheets/d/1MeEWN-I1oV_STSDYn1IFDPWt_1FKiwhDph83XaGc0o0/edit?usp=sharing"",""งบพรบ!AG86"")"),0)</f>
        <v>0</v>
      </c>
      <c r="M71" s="45">
        <f ca="1">IFERROR(__xludf.DUMMYFUNCTION("IMPORTRANGE(""https://docs.google.com/spreadsheets/d/1MeEWN-I1oV_STSDYn1IFDPWt_1FKiwhDph83XaGc0o0/edit?usp=sharing"",""งบพรบ!AL86"")"),0)</f>
        <v>0</v>
      </c>
      <c r="N71" s="45">
        <f ca="1">IFERROR(__xludf.DUMMYFUNCTION("IMPORTRANGE(""https://docs.google.com/spreadsheets/d/1MeEWN-I1oV_STSDYn1IFDPWt_1FKiwhDph83XaGc0o0/edit?usp=sharing"",""งบพรบ!AN86"")"),0)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IFERROR(__xludf.DUMMYFUNCTION("IMPORTRANGE(""https://docs.google.com/spreadsheets/d/1MeEWN-I1oV_STSDYn1IFDPWt_1FKiwhDph83XaGc0o0/edit?usp=sharing"",""งบพรบ!AJ86"")"),0)</f>
        <v>0</v>
      </c>
      <c r="M74" s="45">
        <f ca="1">IFERROR(__xludf.DUMMYFUNCTION("IMPORTRANGE(""https://docs.google.com/spreadsheets/d/1MeEWN-I1oV_STSDYn1IFDPWt_1FKiwhDph83XaGc0o0/edit?usp=sharing"",""งบพรบ!AM86"")"),0)</f>
        <v>0</v>
      </c>
      <c r="N74" s="45">
        <f ca="1">IFERROR(__xludf.DUMMYFUNCTION("IMPORTRANGE(""https://docs.google.com/spreadsheets/d/1MeEWN-I1oV_STSDYn1IFDPWt_1FKiwhDph83XaGc0o0/edit?usp=sharing"",""งบพรบ!AO86"")"),0)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IFERROR(__xludf.DUMMYFUNCTION("IMPORTRANGE(""https://docs.google.com/spreadsheets/d/1QqKyyYR6Q21VydFLVH3TRQUabQu_ym0Zz7PgGX0-kHA/edit?usp=sharing"",""แผน!H86"")"),0)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IFERROR(__xludf.DUMMYFUNCTION("IMPORTRANGE(""https://docs.google.com/spreadsheets/d/1QqKyyYR6Q21VydFLVH3TRQUabQu_ym0Zz7PgGX0-kHA/edit?usp=sharing"",""แผน!I86"")"),0)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IFERROR(__xludf.DUMMYFUNCTION("IMPORTRANGE(""https://docs.google.com/spreadsheets/d/1QqKyyYR6Q21VydFLVH3TRQUabQu_ym0Zz7PgGX0-kHA/edit?usp=sharing"",""แผน!F86"")"),0)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IFERROR(__xludf.DUMMYFUNCTION("IMPORTRANGE(""https://docs.google.com/spreadsheets/d/1QqKyyYR6Q21VydFLVH3TRQUabQu_ym0Zz7PgGX0-kHA/edit?usp=sharing"",""แผน!G86"")"),0)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IFERROR(__xludf.DUMMYFUNCTION("IMPORTRANGE(""https://docs.google.com/spreadsheets/d/1QqKyyYR6Q21VydFLVH3TRQUabQu_ym0Zz7PgGX0-kHA/edit?usp=sharing"",""แผน!D86"")"),0)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IFERROR(__xludf.DUMMYFUNCTION("IMPORTRANGE(""https://docs.google.com/spreadsheets/d/1QqKyyYR6Q21VydFLVH3TRQUabQu_ym0Zz7PgGX0-kHA/edit?usp=sharing"",""แผน!E86"")"),0)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IFERROR(__xludf.DUMMYFUNCTION("IMPORTRANGE(""https://docs.google.com/spreadsheets/d/1QqKyyYR6Q21VydFLVH3TRQUabQu_ym0Zz7PgGX0-kHA/edit?usp=sharing"",""แผน!J86"")"),0)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31200</v>
      </c>
      <c r="M88" s="154">
        <f t="shared" ca="1" si="49"/>
        <v>31200</v>
      </c>
      <c r="N88" s="154">
        <f t="shared" ca="1" si="49"/>
        <v>27750</v>
      </c>
      <c r="O88" s="154">
        <f t="shared" ref="O88:O96" ca="1" si="50">IF(L88&gt;0,N88*100/L88,0)</f>
        <v>88.942307692307693</v>
      </c>
      <c r="P88" s="154">
        <f t="shared" ref="P88:P96" ca="1" si="51">IF(M88&gt;0,N88*100/M88,0)</f>
        <v>88.942307692307693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31200</v>
      </c>
      <c r="M90" s="45">
        <f t="shared" ca="1" si="52"/>
        <v>31200</v>
      </c>
      <c r="N90" s="45">
        <f t="shared" ca="1" si="52"/>
        <v>27750</v>
      </c>
      <c r="O90" s="45">
        <f t="shared" ca="1" si="50"/>
        <v>88.942307692307693</v>
      </c>
      <c r="P90" s="45">
        <f t="shared" ca="1" si="51"/>
        <v>88.942307692307693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31200</v>
      </c>
      <c r="M91" s="38">
        <f t="shared" ca="1" si="53"/>
        <v>31200</v>
      </c>
      <c r="N91" s="38">
        <f t="shared" ca="1" si="53"/>
        <v>27750</v>
      </c>
      <c r="O91" s="38">
        <f t="shared" ca="1" si="50"/>
        <v>88.942307692307693</v>
      </c>
      <c r="P91" s="38">
        <f t="shared" ca="1" si="51"/>
        <v>88.942307692307693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IFERROR(__xludf.DUMMYFUNCTION("IMPORTRANGE(""https://docs.google.com/spreadsheets/d/1MeEWN-I1oV_STSDYn1IFDPWt_1FKiwhDph83XaGc0o0/edit?usp=sharing"",""งบพรบ!AQ86"")"),31200)</f>
        <v>31200</v>
      </c>
      <c r="M93" s="45">
        <f ca="1">IFERROR(__xludf.DUMMYFUNCTION("IMPORTRANGE(""https://docs.google.com/spreadsheets/d/1MeEWN-I1oV_STSDYn1IFDPWt_1FKiwhDph83XaGc0o0/edit?usp=sharing"",""งบพรบ!AV86"")"),31200)</f>
        <v>31200</v>
      </c>
      <c r="N93" s="45">
        <f ca="1">IFERROR(__xludf.DUMMYFUNCTION("IMPORTRANGE(""https://docs.google.com/spreadsheets/d/1MeEWN-I1oV_STSDYn1IFDPWt_1FKiwhDph83XaGc0o0/edit?usp=sharing"",""งบพรบ!AX86"")"),27750)</f>
        <v>27750</v>
      </c>
      <c r="O93" s="45">
        <f t="shared" ca="1" si="50"/>
        <v>88.942307692307693</v>
      </c>
      <c r="P93" s="45">
        <f t="shared" ca="1" si="51"/>
        <v>88.942307692307693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IFERROR(__xludf.DUMMYFUNCTION("IMPORTRANGE(""https://docs.google.com/spreadsheets/d/1MeEWN-I1oV_STSDYn1IFDPWt_1FKiwhDph83XaGc0o0/edit?usp=sharing"",""งบพรบ!AT86"")"),0)</f>
        <v>0</v>
      </c>
      <c r="M96" s="45">
        <f ca="1">IFERROR(__xludf.DUMMYFUNCTION("IMPORTRANGE(""https://docs.google.com/spreadsheets/d/1MeEWN-I1oV_STSDYn1IFDPWt_1FKiwhDph83XaGc0o0/edit?usp=sharing"",""งบพรบ!AW86"")"),0)</f>
        <v>0</v>
      </c>
      <c r="N96" s="45">
        <f ca="1">IFERROR(__xludf.DUMMYFUNCTION("IMPORTRANGE(""https://docs.google.com/spreadsheets/d/1MeEWN-I1oV_STSDYn1IFDPWt_1FKiwhDph83XaGc0o0/edit?usp=sharing"",""งบพรบ!AY86"")"),0)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IFERROR(__xludf.DUMMYFUNCTION("IMPORTRANGE(""https://docs.google.com/spreadsheets/d/1QqKyyYR6Q21VydFLVH3TRQUabQu_ym0Zz7PgGX0-kHA/edit?usp=sharing"",""แผน!K86"")"),0)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IFERROR(__xludf.DUMMYFUNCTION("IMPORTRANGE(""https://docs.google.com/spreadsheets/d/1QqKyyYR6Q21VydFLVH3TRQUabQu_ym0Zz7PgGX0-kHA/edit?usp=sharing"",""แผน!L86"")"),0)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IFERROR(__xludf.DUMMYFUNCTION("IMPORTRANGE(""https://docs.google.com/spreadsheets/d/1QqKyyYR6Q21VydFLVH3TRQUabQu_ym0Zz7PgGX0-kHA/edit?usp=sharing"",""แผน!M86"")"),1)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IFERROR(__xludf.DUMMYFUNCTION("IMPORTRANGE(""https://docs.google.com/spreadsheets/d/1QqKyyYR6Q21VydFLVH3TRQUabQu_ym0Zz7PgGX0-kHA/edit?usp=sharing"",""แผน!N86"")"),0)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IFERROR(__xludf.DUMMYFUNCTION("IMPORTRANGE(""https://docs.google.com/spreadsheets/d/1QqKyyYR6Q21VydFLVH3TRQUabQu_ym0Zz7PgGX0-kHA/edit?usp=sharing"",""แผน!O86"")"),0)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IFERROR(__xludf.DUMMYFUNCTION("IMPORTRANGE(""https://docs.google.com/spreadsheets/d/1QqKyyYR6Q21VydFLVH3TRQUabQu_ym0Zz7PgGX0-kHA/edit?usp=sharing"",""แผน!O86"")"),0)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IFERROR(__xludf.DUMMYFUNCTION("IMPORTRANGE(""https://docs.google.com/spreadsheets/d/1QqKyyYR6Q21VydFLVH3TRQUabQu_ym0Zz7PgGX0-kHA/edit?usp=sharing"",""แผน!P86"")"),0)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IFERROR(__xludf.DUMMYFUNCTION("IMPORTRANGE(""https://docs.google.com/spreadsheets/d/1QqKyyYR6Q21VydFLVH3TRQUabQu_ym0Zz7PgGX0-kHA/edit?usp=sharing"",""แผน!P86"")"),0)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IFERROR(__xludf.DUMMYFUNCTION("IMPORTRANGE(""https://docs.google.com/spreadsheets/d/1QqKyyYR6Q21VydFLVH3TRQUabQu_ym0Zz7PgGX0-kHA/edit?usp=sharing"",""แผน!Q86"")"),1)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IFERROR(__xludf.DUMMYFUNCTION("IMPORTRANGE(""https://docs.google.com/spreadsheets/d/1QqKyyYR6Q21VydFLVH3TRQUabQu_ym0Zz7PgGX0-kHA/edit?usp=sharing"",""แผน!Q86"")"),1)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IFERROR(__xludf.DUMMYFUNCTION("IMPORTRANGE(""https://docs.google.com/spreadsheets/d/1QqKyyYR6Q21VydFLVH3TRQUabQu_ym0Zz7PgGX0-kHA/edit?usp=sharing"",""แผน!R86"")"),0)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IFERROR(__xludf.DUMMYFUNCTION("IMPORTRANGE(""https://docs.google.com/spreadsheets/d/1QqKyyYR6Q21VydFLVH3TRQUabQu_ym0Zz7PgGX0-kHA/edit?usp=sharing"",""แผน!R86"")"),0)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IFERROR(__xludf.DUMMYFUNCTION("IMPORTRANGE(""https://docs.google.com/spreadsheets/d/1QqKyyYR6Q21VydFLVH3TRQUabQu_ym0Zz7PgGX0-kHA/edit?usp=sharing"",""แผน!R86"")"),0)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IFERROR(__xludf.DUMMYFUNCTION("IMPORTRANGE(""https://docs.google.com/spreadsheets/d/1QqKyyYR6Q21VydFLVH3TRQUabQu_ym0Zz7PgGX0-kHA/edit?usp=sharing"",""แผน!S86"")"),0)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IFERROR(__xludf.DUMMYFUNCTION("IMPORTRANGE(""https://docs.google.com/spreadsheets/d/1QqKyyYR6Q21VydFLVH3TRQUabQu_ym0Zz7PgGX0-kHA/edit?usp=sharing"",""แผน!T86"")"),1)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IFERROR(__xludf.DUMMYFUNCTION("IMPORTRANGE(""https://docs.google.com/spreadsheets/d/1MeEWN-I1oV_STSDYn1IFDPWt_1FKiwhDph83XaGc0o0/edit?usp=sharing"",""งบพรบ!BA86"")"),0)</f>
        <v>0</v>
      </c>
      <c r="M124" s="45">
        <f ca="1">IFERROR(__xludf.DUMMYFUNCTION("IMPORTRANGE(""https://docs.google.com/spreadsheets/d/1MeEWN-I1oV_STSDYn1IFDPWt_1FKiwhDph83XaGc0o0/edit?usp=sharing"",""งบพรบ!BF86"")"),0)</f>
        <v>0</v>
      </c>
      <c r="N124" s="45">
        <f ca="1">IFERROR(__xludf.DUMMYFUNCTION("IMPORTRANGE(""https://docs.google.com/spreadsheets/d/1MeEWN-I1oV_STSDYn1IFDPWt_1FKiwhDph83XaGc0o0/edit?usp=sharing"",""งบพรบ!BH86"")"),0)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IFERROR(__xludf.DUMMYFUNCTION("IMPORTRANGE(""https://docs.google.com/spreadsheets/d/1MeEWN-I1oV_STSDYn1IFDPWt_1FKiwhDph83XaGc0o0/edit?usp=sharing"",""งบพรบ!BD86"")"),0)</f>
        <v>0</v>
      </c>
      <c r="M127" s="45">
        <f ca="1">IFERROR(__xludf.DUMMYFUNCTION("IMPORTRANGE(""https://docs.google.com/spreadsheets/d/1MeEWN-I1oV_STSDYn1IFDPWt_1FKiwhDph83XaGc0o0/edit?usp=sharing"",""งบพรบ!BG86"")"),0)</f>
        <v>0</v>
      </c>
      <c r="N127" s="45">
        <f ca="1">IFERROR(__xludf.DUMMYFUNCTION("IMPORTRANGE(""https://docs.google.com/spreadsheets/d/1MeEWN-I1oV_STSDYn1IFDPWt_1FKiwhDph83XaGc0o0/edit?usp=sharing"",""งบพรบ!BI86"")"),0)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1</v>
      </c>
      <c r="J130" s="143">
        <f t="shared" si="66"/>
        <v>1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10</v>
      </c>
      <c r="J131" s="143">
        <f t="shared" ca="1" si="68"/>
        <v>10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543555</v>
      </c>
      <c r="M132" s="154">
        <f t="shared" ca="1" si="69"/>
        <v>543555</v>
      </c>
      <c r="N132" s="154">
        <f t="shared" ca="1" si="69"/>
        <v>460166</v>
      </c>
      <c r="O132" s="154">
        <f t="shared" ref="O132:O140" ca="1" si="70">IF(L132&gt;0,N132*100/L132,0)</f>
        <v>84.658590207062758</v>
      </c>
      <c r="P132" s="154">
        <f t="shared" ref="P132:P140" ca="1" si="71">IF(M132&gt;0,N132*100/M132,0)</f>
        <v>84.658590207062758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543555</v>
      </c>
      <c r="M134" s="45">
        <f t="shared" ca="1" si="72"/>
        <v>543555</v>
      </c>
      <c r="N134" s="45">
        <f t="shared" ca="1" si="72"/>
        <v>460166</v>
      </c>
      <c r="O134" s="45">
        <f t="shared" ca="1" si="70"/>
        <v>84.658590207062758</v>
      </c>
      <c r="P134" s="45">
        <f t="shared" ca="1" si="71"/>
        <v>84.658590207062758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440555</v>
      </c>
      <c r="M135" s="38">
        <f t="shared" ca="1" si="73"/>
        <v>440555</v>
      </c>
      <c r="N135" s="38">
        <f t="shared" ca="1" si="73"/>
        <v>357166</v>
      </c>
      <c r="O135" s="38">
        <f t="shared" ca="1" si="70"/>
        <v>81.07182985098342</v>
      </c>
      <c r="P135" s="38">
        <f t="shared" ca="1" si="71"/>
        <v>81.07182985098342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IFERROR(__xludf.DUMMYFUNCTION("IMPORTRANGE(""https://docs.google.com/spreadsheets/d/1MeEWN-I1oV_STSDYn1IFDPWt_1FKiwhDph83XaGc0o0/edit?usp=sharing"",""งบพรบ!BK86"")"),440555)</f>
        <v>440555</v>
      </c>
      <c r="M137" s="45">
        <f ca="1">IFERROR(__xludf.DUMMYFUNCTION("IMPORTRANGE(""https://docs.google.com/spreadsheets/d/1MeEWN-I1oV_STSDYn1IFDPWt_1FKiwhDph83XaGc0o0/edit?usp=sharing"",""งบพรบ!BP86"")"),440555)</f>
        <v>440555</v>
      </c>
      <c r="N137" s="45">
        <f ca="1">IFERROR(__xludf.DUMMYFUNCTION("IMPORTRANGE(""https://docs.google.com/spreadsheets/d/1MeEWN-I1oV_STSDYn1IFDPWt_1FKiwhDph83XaGc0o0/edit?usp=sharing"",""งบพรบ!BR86"")"),357166)</f>
        <v>357166</v>
      </c>
      <c r="O137" s="45">
        <f t="shared" ca="1" si="70"/>
        <v>81.07182985098342</v>
      </c>
      <c r="P137" s="45">
        <f t="shared" ca="1" si="71"/>
        <v>81.07182985098342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103000</v>
      </c>
      <c r="M138" s="38">
        <f t="shared" ca="1" si="74"/>
        <v>103000</v>
      </c>
      <c r="N138" s="38">
        <f t="shared" ca="1" si="74"/>
        <v>103000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IFERROR(__xludf.DUMMYFUNCTION("IMPORTRANGE(""https://docs.google.com/spreadsheets/d/1MeEWN-I1oV_STSDYn1IFDPWt_1FKiwhDph83XaGc0o0/edit?usp=sharing"",""งบพรบ!BN86"")"),103000)</f>
        <v>103000</v>
      </c>
      <c r="M140" s="45">
        <f ca="1">IFERROR(__xludf.DUMMYFUNCTION("IMPORTRANGE(""https://docs.google.com/spreadsheets/d/1MeEWN-I1oV_STSDYn1IFDPWt_1FKiwhDph83XaGc0o0/edit?usp=sharing"",""งบพรบ!BQ86"")"),103000)</f>
        <v>103000</v>
      </c>
      <c r="N140" s="45">
        <f ca="1">IFERROR(__xludf.DUMMYFUNCTION("IMPORTRANGE(""https://docs.google.com/spreadsheets/d/1MeEWN-I1oV_STSDYn1IFDPWt_1FKiwhDph83XaGc0o0/edit?usp=sharing"",""งบพรบ!BS86"")"),103000)</f>
        <v>103000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10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10</v>
      </c>
      <c r="J143" s="37">
        <f ca="1">IF(AND(J144&gt;=I144,J145&gt;=I145),J145,0)</f>
        <v>10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IFERROR(__xludf.DUMMYFUNCTION("IMPORTRANGE(""https://docs.google.com/spreadsheets/d/1QqKyyYR6Q21VydFLVH3TRQUabQu_ym0Zz7PgGX0-kHA/edit?usp=sharing"",""แผน!U86"")"),5)</f>
        <v>5</v>
      </c>
      <c r="J144" s="181">
        <v>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IFERROR(__xludf.DUMMYFUNCTION("IMPORTRANGE(""https://docs.google.com/spreadsheets/d/1QqKyyYR6Q21VydFLVH3TRQUabQu_ym0Zz7PgGX0-kHA/edit?usp=sharing"",""แผน!V86"")"),10)</f>
        <v>10</v>
      </c>
      <c r="J145" s="181">
        <v>10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IFERROR(__xludf.DUMMYFUNCTION("IMPORTRANGE(""https://docs.google.com/spreadsheets/d/1QqKyyYR6Q21VydFLVH3TRQUabQu_ym0Zz7PgGX0-kHA/edit?usp=sharing"",""แผน!W86"")"),1)</f>
        <v>1</v>
      </c>
      <c r="J146" s="181">
        <v>1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IFERROR(__xludf.DUMMYFUNCTION("IMPORTRANGE(""https://docs.google.com/spreadsheets/d/1MeEWN-I1oV_STSDYn1IFDPWt_1FKiwhDph83XaGc0o0/edit?usp=sharing"",""งบพรบ!BU86"")"),0)</f>
        <v>0</v>
      </c>
      <c r="M154" s="45">
        <f ca="1">IFERROR(__xludf.DUMMYFUNCTION("IMPORTRANGE(""https://docs.google.com/spreadsheets/d/1MeEWN-I1oV_STSDYn1IFDPWt_1FKiwhDph83XaGc0o0/edit?usp=sharing"",""งบพรบ!BZ86"")"),0)</f>
        <v>0</v>
      </c>
      <c r="N154" s="45">
        <f ca="1">IFERROR(__xludf.DUMMYFUNCTION("IMPORTRANGE(""https://docs.google.com/spreadsheets/d/1MeEWN-I1oV_STSDYn1IFDPWt_1FKiwhDph83XaGc0o0/edit?usp=sharing"",""งบพรบ!CB86"")"),0)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IFERROR(__xludf.DUMMYFUNCTION("IMPORTRANGE(""https://docs.google.com/spreadsheets/d/1MeEWN-I1oV_STSDYn1IFDPWt_1FKiwhDph83XaGc0o0/edit?usp=sharing"",""งบพรบ!BX86"")"),0)</f>
        <v>0</v>
      </c>
      <c r="M157" s="45">
        <f ca="1">IFERROR(__xludf.DUMMYFUNCTION("IMPORTRANGE(""https://docs.google.com/spreadsheets/d/1MeEWN-I1oV_STSDYn1IFDPWt_1FKiwhDph83XaGc0o0/edit?usp=sharing"",""งบพรบ!CA86"")"),0)</f>
        <v>0</v>
      </c>
      <c r="N157" s="45">
        <f ca="1">IFERROR(__xludf.DUMMYFUNCTION("IMPORTRANGE(""https://docs.google.com/spreadsheets/d/1MeEWN-I1oV_STSDYn1IFDPWt_1FKiwhDph83XaGc0o0/edit?usp=sharing"",""งบพรบ!CC86"")"),0)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IFERROR(__xludf.DUMMYFUNCTION("IMPORTRANGE(""https://docs.google.com/spreadsheets/d/1QqKyyYR6Q21VydFLVH3TRQUabQu_ym0Zz7PgGX0-kHA/edit?usp=sharing"",""แผน!X86"")"),0)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13</v>
      </c>
      <c r="J164" s="242">
        <f t="shared" si="83"/>
        <v>13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24065</v>
      </c>
      <c r="M165" s="154">
        <f t="shared" ca="1" si="84"/>
        <v>44625</v>
      </c>
      <c r="N165" s="154">
        <f t="shared" ca="1" si="84"/>
        <v>44625</v>
      </c>
      <c r="O165" s="154">
        <f t="shared" ref="O165:O173" ca="1" si="85">IF(L165&gt;0,N165*100/L165,0)</f>
        <v>185.43527945148557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24065</v>
      </c>
      <c r="M167" s="45">
        <f t="shared" ca="1" si="87"/>
        <v>44625</v>
      </c>
      <c r="N167" s="45">
        <f t="shared" ca="1" si="87"/>
        <v>44625</v>
      </c>
      <c r="O167" s="45">
        <f t="shared" ca="1" si="85"/>
        <v>185.43527945148557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24065</v>
      </c>
      <c r="M168" s="38">
        <f t="shared" ca="1" si="88"/>
        <v>44625</v>
      </c>
      <c r="N168" s="38">
        <f t="shared" ca="1" si="88"/>
        <v>44625</v>
      </c>
      <c r="O168" s="38">
        <f t="shared" ca="1" si="85"/>
        <v>185.43527945148557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IFERROR(__xludf.DUMMYFUNCTION("IMPORTRANGE(""https://docs.google.com/spreadsheets/d/1MeEWN-I1oV_STSDYn1IFDPWt_1FKiwhDph83XaGc0o0/edit?usp=sharing"",""งบพรบ!CE86"")"),24065)</f>
        <v>24065</v>
      </c>
      <c r="M170" s="45">
        <f ca="1">IFERROR(__xludf.DUMMYFUNCTION("IMPORTRANGE(""https://docs.google.com/spreadsheets/d/1MeEWN-I1oV_STSDYn1IFDPWt_1FKiwhDph83XaGc0o0/edit?usp=sharing"",""งบพรบ!CJ86"")"),44625)</f>
        <v>44625</v>
      </c>
      <c r="N170" s="45">
        <f ca="1">IFERROR(__xludf.DUMMYFUNCTION("IMPORTRANGE(""https://docs.google.com/spreadsheets/d/1MeEWN-I1oV_STSDYn1IFDPWt_1FKiwhDph83XaGc0o0/edit?usp=sharing"",""งบพรบ!CL86"")"),44625)</f>
        <v>44625</v>
      </c>
      <c r="O170" s="45">
        <f t="shared" ca="1" si="85"/>
        <v>185.43527945148557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IFERROR(__xludf.DUMMYFUNCTION("IMPORTRANGE(""https://docs.google.com/spreadsheets/d/1MeEWN-I1oV_STSDYn1IFDPWt_1FKiwhDph83XaGc0o0/edit?usp=sharing"",""งบพรบ!CH86"")"),0)</f>
        <v>0</v>
      </c>
      <c r="M173" s="45">
        <f ca="1">IFERROR(__xludf.DUMMYFUNCTION("IMPORTRANGE(""https://docs.google.com/spreadsheets/d/1MeEWN-I1oV_STSDYn1IFDPWt_1FKiwhDph83XaGc0o0/edit?usp=sharing"",""งบพรบ!CK86"")"),0)</f>
        <v>0</v>
      </c>
      <c r="N173" s="45">
        <f ca="1">IFERROR(__xludf.DUMMYFUNCTION("IMPORTRANGE(""https://docs.google.com/spreadsheets/d/1MeEWN-I1oV_STSDYn1IFDPWt_1FKiwhDph83XaGc0o0/edit?usp=sharing"",""งบพรบ!CM86"")"),0)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13</v>
      </c>
      <c r="J174" s="250">
        <f t="shared" si="90"/>
        <v>13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IFERROR(__xludf.DUMMYFUNCTION("IMPORTRANGE(""https://docs.google.com/spreadsheets/d/1QqKyyYR6Q21VydFLVH3TRQUabQu_ym0Zz7PgGX0-kHA/edit?usp=sharing"",""แผน!Y86"")"),13)</f>
        <v>13</v>
      </c>
      <c r="J176" s="181">
        <v>13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176400</v>
      </c>
      <c r="M181" s="154">
        <f t="shared" ca="1" si="92"/>
        <v>195840</v>
      </c>
      <c r="N181" s="154">
        <f t="shared" ca="1" si="92"/>
        <v>195840</v>
      </c>
      <c r="O181" s="154">
        <f t="shared" ref="O181:O189" ca="1" si="93">IF(L181&gt;0,N181*100/L181,0)</f>
        <v>111.0204081632653</v>
      </c>
      <c r="P181" s="154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176400</v>
      </c>
      <c r="M183" s="45">
        <f t="shared" ca="1" si="95"/>
        <v>195840</v>
      </c>
      <c r="N183" s="45">
        <f t="shared" ca="1" si="95"/>
        <v>195840</v>
      </c>
      <c r="O183" s="45">
        <f t="shared" ca="1" si="93"/>
        <v>111.0204081632653</v>
      </c>
      <c r="P183" s="45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176400</v>
      </c>
      <c r="M184" s="38">
        <f t="shared" ca="1" si="96"/>
        <v>195840</v>
      </c>
      <c r="N184" s="38">
        <f t="shared" ca="1" si="96"/>
        <v>195840</v>
      </c>
      <c r="O184" s="38">
        <f t="shared" ca="1" si="93"/>
        <v>111.0204081632653</v>
      </c>
      <c r="P184" s="3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IFERROR(__xludf.DUMMYFUNCTION("IMPORTRANGE(""https://docs.google.com/spreadsheets/d/1MeEWN-I1oV_STSDYn1IFDPWt_1FKiwhDph83XaGc0o0/edit?usp=sharing"",""งบพรบ!CO86"")"),176400)</f>
        <v>176400</v>
      </c>
      <c r="M186" s="45">
        <f ca="1">IFERROR(__xludf.DUMMYFUNCTION("IMPORTRANGE(""https://docs.google.com/spreadsheets/d/1MeEWN-I1oV_STSDYn1IFDPWt_1FKiwhDph83XaGc0o0/edit?usp=sharing"",""งบพรบ!CT86"")"),195840)</f>
        <v>195840</v>
      </c>
      <c r="N186" s="45">
        <f ca="1">IFERROR(__xludf.DUMMYFUNCTION("IMPORTRANGE(""https://docs.google.com/spreadsheets/d/1MeEWN-I1oV_STSDYn1IFDPWt_1FKiwhDph83XaGc0o0/edit?usp=sharing"",""งบพรบ!CV86"")"),195840)</f>
        <v>195840</v>
      </c>
      <c r="O186" s="45">
        <f t="shared" ca="1" si="93"/>
        <v>111.0204081632653</v>
      </c>
      <c r="P186" s="45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IFERROR(__xludf.DUMMYFUNCTION("IMPORTRANGE(""https://docs.google.com/spreadsheets/d/1MeEWN-I1oV_STSDYn1IFDPWt_1FKiwhDph83XaGc0o0/edit?usp=sharing"",""งบพรบ!CR86"")"),0)</f>
        <v>0</v>
      </c>
      <c r="M189" s="45">
        <f ca="1">IFERROR(__xludf.DUMMYFUNCTION("IMPORTRANGE(""https://docs.google.com/spreadsheets/d/1MeEWN-I1oV_STSDYn1IFDPWt_1FKiwhDph83XaGc0o0/edit?usp=sharing"",""งบพรบ!CU86"")"),0)</f>
        <v>0</v>
      </c>
      <c r="N189" s="45">
        <f ca="1">IFERROR(__xludf.DUMMYFUNCTION("IMPORTRANGE(""https://docs.google.com/spreadsheets/d/1MeEWN-I1oV_STSDYn1IFDPWt_1FKiwhDph83XaGc0o0/edit?usp=sharing"",""งบพรบ!CW86"")"),0)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IFERROR(__xludf.DUMMYFUNCTION("IMPORTRANGE(""https://docs.google.com/spreadsheets/d/1QqKyyYR6Q21VydFLVH3TRQUabQu_ym0Zz7PgGX0-kHA/edit?usp=sharing"",""แผน!Z86"")"),6000)</f>
        <v>6000</v>
      </c>
      <c r="M191" s="154"/>
      <c r="N191" s="264">
        <v>6000</v>
      </c>
      <c r="O191" s="154">
        <f ca="1">IF(L191&gt;0,N191*100/L191,0)</f>
        <v>100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IFERROR(__xludf.DUMMYFUNCTION("IMPORTRANGE(""https://docs.google.com/spreadsheets/d/1QqKyyYR6Q21VydFLVH3TRQUabQu_ym0Zz7PgGX0-kHA/edit?usp=sharing"",""แผน!AC86"")"),4)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194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194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5</v>
      </c>
      <c r="J197" s="260">
        <f t="shared" si="99"/>
        <v>5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65000</v>
      </c>
      <c r="M198" s="154"/>
      <c r="N198" s="154">
        <f>N199+N200+N201+N202</f>
        <v>65000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IFERROR(__xludf.DUMMYFUNCTION("IMPORTRANGE(""https://docs.google.com/spreadsheets/d/1QqKyyYR6Q21VydFLVH3TRQUabQu_ym0Zz7PgGX0-kHA/edit?usp=sharing"",""แผน!AE86"")"),5000)</f>
        <v>5000</v>
      </c>
      <c r="M199" s="38"/>
      <c r="N199" s="270">
        <v>5000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IFERROR(__xludf.DUMMYFUNCTION("IMPORTRANGE(""https://docs.google.com/spreadsheets/d/1QqKyyYR6Q21VydFLVH3TRQUabQu_ym0Zz7PgGX0-kHA/edit?usp=sharing"",""แผน!AF86"")"),40000)</f>
        <v>40000</v>
      </c>
      <c r="M200" s="38"/>
      <c r="N200" s="270">
        <v>40000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IFERROR(__xludf.DUMMYFUNCTION("IMPORTRANGE(""https://docs.google.com/spreadsheets/d/1QqKyyYR6Q21VydFLVH3TRQUabQu_ym0Zz7PgGX0-kHA/edit?usp=sharing"",""แผน!AG86"")"),20000)</f>
        <v>20000</v>
      </c>
      <c r="M201" s="38"/>
      <c r="N201" s="270">
        <v>20000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IFERROR(__xludf.DUMMYFUNCTION("IMPORTRANGE(""https://docs.google.com/spreadsheets/d/1QqKyyYR6Q21VydFLVH3TRQUabQu_ym0Zz7PgGX0-kHA/edit?usp=sharing"",""แผน!AH86"")"),0)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IFERROR(__xludf.DUMMYFUNCTION("IMPORTRANGE(""https://docs.google.com/spreadsheets/d/1QqKyyYR6Q21VydFLVH3TRQUabQu_ym0Zz7PgGX0-kHA/edit?usp=sharing"",""แผน!AI86"")"),5)</f>
        <v>5</v>
      </c>
      <c r="J204" s="181">
        <v>5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5</v>
      </c>
      <c r="J206" s="181">
        <v>5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7</v>
      </c>
      <c r="J208" s="260">
        <f t="shared" si="101"/>
        <v>7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98000</v>
      </c>
      <c r="M209" s="154"/>
      <c r="N209" s="154">
        <f>N210+N211+N212</f>
        <v>98000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IFERROR(__xludf.DUMMYFUNCTION("IMPORTRANGE(""https://docs.google.com/spreadsheets/d/1QqKyyYR6Q21VydFLVH3TRQUabQu_ym0Zz7PgGX0-kHA/edit?usp=sharing"",""แผน!AK86"")"),7000)</f>
        <v>7000</v>
      </c>
      <c r="M210" s="38"/>
      <c r="N210" s="270">
        <v>7000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IFERROR(__xludf.DUMMYFUNCTION("IMPORTRANGE(""https://docs.google.com/spreadsheets/d/1QqKyyYR6Q21VydFLVH3TRQUabQu_ym0Zz7PgGX0-kHA/edit?usp=sharing"",""แผน!AL86"")"),35000)</f>
        <v>35000</v>
      </c>
      <c r="M211" s="38"/>
      <c r="N211" s="270">
        <v>35000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IFERROR(__xludf.DUMMYFUNCTION("IMPORTRANGE(""https://docs.google.com/spreadsheets/d/1QqKyyYR6Q21VydFLVH3TRQUabQu_ym0Zz7PgGX0-kHA/edit?usp=sharing"",""แผน!AM86"")"),56000)</f>
        <v>56000</v>
      </c>
      <c r="M212" s="38"/>
      <c r="N212" s="270">
        <v>56000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IFERROR(__xludf.DUMMYFUNCTION("IMPORTRANGE(""https://docs.google.com/spreadsheets/d/1QqKyyYR6Q21VydFLVH3TRQUabQu_ym0Zz7PgGX0-kHA/edit?usp=sharing"",""แผน!AN86"")"),7)</f>
        <v>7</v>
      </c>
      <c r="J214" s="181">
        <v>7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IFERROR(__xludf.DUMMYFUNCTION("IMPORTRANGE(""https://docs.google.com/spreadsheets/d/1QqKyyYR6Q21VydFLVH3TRQUabQu_ym0Zz7PgGX0-kHA/edit?usp=sharing"",""แผน!AN86"")"),7)</f>
        <v>7</v>
      </c>
      <c r="J215" s="181">
        <v>7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15000</v>
      </c>
      <c r="J216" s="260">
        <f t="shared" si="103"/>
        <v>15000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7400</v>
      </c>
      <c r="M217" s="154"/>
      <c r="N217" s="154">
        <f>N218+N219+N220</f>
        <v>7400</v>
      </c>
      <c r="O217" s="154">
        <f ca="1">IF(L217&gt;0,N217*100/L217,0)</f>
        <v>100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IFERROR(__xludf.DUMMYFUNCTION("IMPORTRANGE(""https://docs.google.com/spreadsheets/d/1QqKyyYR6Q21VydFLVH3TRQUabQu_ym0Zz7PgGX0-kHA/edit?usp=sharing"",""แผน!AP86"")"),3000)</f>
        <v>3000</v>
      </c>
      <c r="M218" s="38"/>
      <c r="N218" s="270">
        <v>3000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IFERROR(__xludf.DUMMYFUNCTION("IMPORTRANGE(""https://docs.google.com/spreadsheets/d/1QqKyyYR6Q21VydFLVH3TRQUabQu_ym0Zz7PgGX0-kHA/edit?usp=sharing"",""แผน!AQ86"")"),4400)</f>
        <v>4400</v>
      </c>
      <c r="M219" s="38"/>
      <c r="N219" s="270">
        <v>4400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IFERROR(__xludf.DUMMYFUNCTION("IMPORTRANGE(""https://docs.google.com/spreadsheets/d/1QqKyyYR6Q21VydFLVH3TRQUabQu_ym0Zz7PgGX0-kHA/edit?usp=sharing"",""แผน!AR86"")"),0)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IFERROR(__xludf.DUMMYFUNCTION("IMPORTRANGE(""https://docs.google.com/spreadsheets/d/1QqKyyYR6Q21VydFLVH3TRQUabQu_ym0Zz7PgGX0-kHA/edit?usp=sharing"",""แผน!AT86"")"),15000)</f>
        <v>15000</v>
      </c>
      <c r="J223" s="181">
        <v>15000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IFERROR(__xludf.DUMMYFUNCTION("IMPORTRANGE(""https://docs.google.com/spreadsheets/d/1QqKyyYR6Q21VydFLVH3TRQUabQu_ym0Zz7PgGX0-kHA/edit?usp=sharing"",""แผน!AT86"")"),15000)</f>
        <v>15000</v>
      </c>
      <c r="J224" s="181">
        <v>15000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IFERROR(__xludf.DUMMYFUNCTION("IMPORTRANGE(""https://docs.google.com/spreadsheets/d/1QqKyyYR6Q21VydFLVH3TRQUabQu_ym0Zz7PgGX0-kHA/edit?usp=sharing"",""แผน!AS86"")"),0)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IFERROR(__xludf.DUMMYFUNCTION("IMPORTRANGE(""https://docs.google.com/spreadsheets/d/1QqKyyYR6Q21VydFLVH3TRQUabQu_ym0Zz7PgGX0-kHA/edit?usp=sharing"",""แผน!AV86"")"),0)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IFERROR(__xludf.DUMMYFUNCTION("IMPORTRANGE(""https://docs.google.com/spreadsheets/d/1QqKyyYR6Q21VydFLVH3TRQUabQu_ym0Zz7PgGX0-kHA/edit?usp=sharing"",""แผน!AW86"")"),0)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IFERROR(__xludf.DUMMYFUNCTION("IMPORTRANGE(""https://docs.google.com/spreadsheets/d/1QqKyyYR6Q21VydFLVH3TRQUabQu_ym0Zz7PgGX0-kHA/edit?usp=sharing"",""แผน!AX86"")"),0)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IFERROR(__xludf.DUMMYFUNCTION("IMPORTRANGE(""https://docs.google.com/spreadsheets/d/1QqKyyYR6Q21VydFLVH3TRQUabQu_ym0Zz7PgGX0-kHA/edit?usp=sharing"",""แผน!AY86"")"),0)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IFERROR(__xludf.DUMMYFUNCTION("IMPORTRANGE(""https://docs.google.com/spreadsheets/d/1QqKyyYR6Q21VydFLVH3TRQUabQu_ym0Zz7PgGX0-kHA/edit?usp=sharing"",""แผน!BE86"")"),0)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IFERROR(__xludf.DUMMYFUNCTION("IMPORTRANGE(""https://docs.google.com/spreadsheets/d/1QqKyyYR6Q21VydFLVH3TRQUabQu_ym0Zz7PgGX0-kHA/edit?usp=sharing"",""แผน!AZ86"")"),0)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IFERROR(__xludf.DUMMYFUNCTION("IMPORTRANGE(""https://docs.google.com/spreadsheets/d/1QqKyyYR6Q21VydFLVH3TRQUabQu_ym0Zz7PgGX0-kHA/edit?usp=sharing"",""แผน!BA86"")"),0)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IFERROR(__xludf.DUMMYFUNCTION("IMPORTRANGE(""https://docs.google.com/spreadsheets/d/1QqKyyYR6Q21VydFLVH3TRQUabQu_ym0Zz7PgGX0-kHA/edit?usp=sharing"",""แผน!BB86"")"),0)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IFERROR(__xludf.DUMMYFUNCTION("IMPORTRANGE(""https://docs.google.com/spreadsheets/d/1QqKyyYR6Q21VydFLVH3TRQUabQu_ym0Zz7PgGX0-kHA/edit?usp=sharing"",""แผน!BC86"")"),0)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IFERROR(__xludf.DUMMYFUNCTION("IMPORTRANGE(""https://docs.google.com/spreadsheets/d/1QqKyyYR6Q21VydFLVH3TRQUabQu_ym0Zz7PgGX0-kHA/edit?usp=sharing"",""แผน!BF86"")"),0)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20</v>
      </c>
      <c r="J260" s="242">
        <f t="shared" si="115"/>
        <v>0</v>
      </c>
      <c r="K260" s="243">
        <f ca="1">IF(I260&gt;0,J260*100/I260,0)</f>
        <v>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25000</v>
      </c>
      <c r="M261" s="154">
        <f t="shared" ca="1" si="116"/>
        <v>25000</v>
      </c>
      <c r="N261" s="154">
        <f t="shared" ca="1" si="116"/>
        <v>0</v>
      </c>
      <c r="O261" s="154">
        <f t="shared" ref="O261:O269" ca="1" si="117">IF(L261&gt;0,N261*100/L261,0)</f>
        <v>0</v>
      </c>
      <c r="P261" s="154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25000</v>
      </c>
      <c r="M263" s="45">
        <f t="shared" ca="1" si="119"/>
        <v>25000</v>
      </c>
      <c r="N263" s="45">
        <f t="shared" ca="1" si="119"/>
        <v>0</v>
      </c>
      <c r="O263" s="45">
        <f t="shared" ca="1" si="117"/>
        <v>0</v>
      </c>
      <c r="P263" s="45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25000</v>
      </c>
      <c r="M264" s="38">
        <f t="shared" ca="1" si="120"/>
        <v>25000</v>
      </c>
      <c r="N264" s="38">
        <f t="shared" ca="1" si="120"/>
        <v>0</v>
      </c>
      <c r="O264" s="38">
        <f t="shared" ca="1" si="117"/>
        <v>0</v>
      </c>
      <c r="P264" s="3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IFERROR(__xludf.DUMMYFUNCTION("IMPORTRANGE(""https://docs.google.com/spreadsheets/d/1MeEWN-I1oV_STSDYn1IFDPWt_1FKiwhDph83XaGc0o0/edit?usp=sharing"",""งบพรบ!CY86"")"),25000)</f>
        <v>25000</v>
      </c>
      <c r="M266" s="45">
        <f ca="1">IFERROR(__xludf.DUMMYFUNCTION("IMPORTRANGE(""https://docs.google.com/spreadsheets/d/1MeEWN-I1oV_STSDYn1IFDPWt_1FKiwhDph83XaGc0o0/edit?usp=sharing"",""งบพรบ!DD86"")"),25000)</f>
        <v>25000</v>
      </c>
      <c r="N266" s="45">
        <f ca="1">IFERROR(__xludf.DUMMYFUNCTION("IMPORTRANGE(""https://docs.google.com/spreadsheets/d/1MeEWN-I1oV_STSDYn1IFDPWt_1FKiwhDph83XaGc0o0/edit?usp=sharing"",""งบพรบ!DF86"")"),0)</f>
        <v>0</v>
      </c>
      <c r="O266" s="45">
        <f t="shared" ca="1" si="117"/>
        <v>0</v>
      </c>
      <c r="P266" s="45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IFERROR(__xludf.DUMMYFUNCTION("IMPORTRANGE(""https://docs.google.com/spreadsheets/d/1MeEWN-I1oV_STSDYn1IFDPWt_1FKiwhDph83XaGc0o0/edit?usp=sharing"",""งบพรบ!DB86"")"),0)</f>
        <v>0</v>
      </c>
      <c r="M269" s="45">
        <f ca="1">IFERROR(__xludf.DUMMYFUNCTION("IMPORTRANGE(""https://docs.google.com/spreadsheets/d/1MeEWN-I1oV_STSDYn1IFDPWt_1FKiwhDph83XaGc0o0/edit?usp=sharing"",""งบพรบ!DE86"")"),0)</f>
        <v>0</v>
      </c>
      <c r="N269" s="45">
        <f ca="1">IFERROR(__xludf.DUMMYFUNCTION("IMPORTRANGE(""https://docs.google.com/spreadsheets/d/1MeEWN-I1oV_STSDYn1IFDPWt_1FKiwhDph83XaGc0o0/edit?usp=sharing"",""งบพรบ!DG86"")"),0)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IFERROR(__xludf.DUMMYFUNCTION("IMPORTRANGE(""https://docs.google.com/spreadsheets/d/1QqKyyYR6Q21VydFLVH3TRQUabQu_ym0Zz7PgGX0-kHA/edit?usp=sharing"",""แผน!EA86"")"),20)</f>
        <v>20</v>
      </c>
      <c r="J271" s="181">
        <v>0</v>
      </c>
      <c r="K271" s="162">
        <f ca="1">IF(I271&gt;0,J271*100/I271,0)</f>
        <v>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4">I287</f>
        <v>0</v>
      </c>
      <c r="J276" s="39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IFERROR(__xludf.DUMMYFUNCTION("IMPORTRANGE(""https://docs.google.com/spreadsheets/d/1MeEWN-I1oV_STSDYn1IFDPWt_1FKiwhDph83XaGc0o0/edit?usp=sharing"",""งบพรบ!DI86"")"),0)</f>
        <v>0</v>
      </c>
      <c r="M282" s="45">
        <f ca="1">IFERROR(__xludf.DUMMYFUNCTION("IMPORTRANGE(""https://docs.google.com/spreadsheets/d/1MeEWN-I1oV_STSDYn1IFDPWt_1FKiwhDph83XaGc0o0/edit?usp=sharing"",""งบพรบ!DN86"")"),0)</f>
        <v>0</v>
      </c>
      <c r="N282" s="45">
        <f ca="1">IFERROR(__xludf.DUMMYFUNCTION("IMPORTRANGE(""https://docs.google.com/spreadsheets/d/1MeEWN-I1oV_STSDYn1IFDPWt_1FKiwhDph83XaGc0o0/edit?usp=sharing"",""งบพรบ!DP86"")"),0)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IFERROR(__xludf.DUMMYFUNCTION("IMPORTRANGE(""https://docs.google.com/spreadsheets/d/1MeEWN-I1oV_STSDYn1IFDPWt_1FKiwhDph83XaGc0o0/edit?usp=sharing"",""งบพรบ!DL86"")"),0)</f>
        <v>0</v>
      </c>
      <c r="M285" s="45">
        <f ca="1">IFERROR(__xludf.DUMMYFUNCTION("IMPORTRANGE(""https://docs.google.com/spreadsheets/d/1MeEWN-I1oV_STSDYn1IFDPWt_1FKiwhDph83XaGc0o0/edit?usp=sharing"",""งบพรบ!DO86"")"),0)</f>
        <v>0</v>
      </c>
      <c r="N285" s="45">
        <f ca="1">IFERROR(__xludf.DUMMYFUNCTION("IMPORTRANGE(""https://docs.google.com/spreadsheets/d/1MeEWN-I1oV_STSDYn1IFDPWt_1FKiwhDph83XaGc0o0/edit?usp=sharing"",""งบพรบ!DQ86"")"),0)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IFERROR(__xludf.DUMMYFUNCTION("IMPORTRANGE(""https://docs.google.com/spreadsheets/d/1QqKyyYR6Q21VydFLVH3TRQUabQu_ym0Zz7PgGX0-kHA/edit?usp=sharing"",""แผน!EC86"")"),0)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IFERROR(__xludf.DUMMYFUNCTION("IMPORTRANGE(""https://docs.google.com/spreadsheets/d/1QqKyyYR6Q21VydFLVH3TRQUabQu_ym0Zz7PgGX0-kHA/edit?usp=sharing"",""แผน!EB86"")"),0)</f>
        <v>0</v>
      </c>
      <c r="J288" s="190">
        <f ca="1">IF(AND(J291&gt;=I288,J294&gt;=I288),J294,0)</f>
        <v>0</v>
      </c>
      <c r="K288" s="391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IFERROR(__xludf.DUMMYFUNCTION("IMPORTRANGE(""https://docs.google.com/spreadsheets/d/1QqKyyYR6Q21VydFLVH3TRQUabQu_ym0Zz7PgGX0-kHA/edit?usp=sharing"",""แผน!EB86"")"),0)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337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IFERROR(__xludf.DUMMYFUNCTION("IMPORTRANGE(""https://docs.google.com/spreadsheets/d/1QqKyyYR6Q21VydFLVH3TRQUabQu_ym0Zz7PgGX0-kHA/edit?usp=sharing"",""แผน!EB86"")"),0)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IFERROR(__xludf.DUMMYFUNCTION("IMPORTRANGE(""https://docs.google.com/spreadsheets/d/1QqKyyYR6Q21VydFLVH3TRQUabQu_ym0Zz7PgGX0-kHA/edit?usp=sharing"",""แผน!EB86"")"),0)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9" t="s">
        <v>337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IFERROR(__xludf.DUMMYFUNCTION("IMPORTRANGE(""https://docs.google.com/spreadsheets/d/1QqKyyYR6Q21VydFLVH3TRQUabQu_ym0Zz7PgGX0-kHA/edit?usp=sharing"",""แผน!EB86"")"),0)</f>
        <v>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20</v>
      </c>
      <c r="J297" s="421">
        <f t="shared" si="134"/>
        <v>20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82400</v>
      </c>
      <c r="N298" s="154">
        <f t="shared" ca="1" si="135"/>
        <v>81140</v>
      </c>
      <c r="O298" s="154">
        <f t="shared" ref="O298:O306" ca="1" si="136">IF(L298&gt;0,N298*100/L298,0)</f>
        <v>98.470873786407765</v>
      </c>
      <c r="P298" s="154">
        <f t="shared" ref="P298:P306" ca="1" si="137">IF(M298&gt;0,N298*100/M298,0)</f>
        <v>98.470873786407765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82400</v>
      </c>
      <c r="N300" s="45">
        <f t="shared" ca="1" si="138"/>
        <v>81140</v>
      </c>
      <c r="O300" s="45">
        <f t="shared" ca="1" si="136"/>
        <v>98.470873786407765</v>
      </c>
      <c r="P300" s="45">
        <f t="shared" ca="1" si="137"/>
        <v>98.470873786407765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82400</v>
      </c>
      <c r="N301" s="38">
        <f t="shared" ca="1" si="139"/>
        <v>81140</v>
      </c>
      <c r="O301" s="38">
        <f t="shared" ca="1" si="136"/>
        <v>98.470873786407765</v>
      </c>
      <c r="P301" s="38">
        <f t="shared" ca="1" si="137"/>
        <v>98.470873786407765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IFERROR(__xludf.DUMMYFUNCTION("IMPORTRANGE(""https://docs.google.com/spreadsheets/d/1MeEWN-I1oV_STSDYn1IFDPWt_1FKiwhDph83XaGc0o0/edit?usp=sharing"",""งบพรบ!DS86"")"),82400)</f>
        <v>82400</v>
      </c>
      <c r="M303" s="45">
        <f ca="1">IFERROR(__xludf.DUMMYFUNCTION("IMPORTRANGE(""https://docs.google.com/spreadsheets/d/1MeEWN-I1oV_STSDYn1IFDPWt_1FKiwhDph83XaGc0o0/edit?usp=sharing"",""งบพรบ!DX86"")"),82400)</f>
        <v>82400</v>
      </c>
      <c r="N303" s="45">
        <f ca="1">IFERROR(__xludf.DUMMYFUNCTION("IMPORTRANGE(""https://docs.google.com/spreadsheets/d/1MeEWN-I1oV_STSDYn1IFDPWt_1FKiwhDph83XaGc0o0/edit?usp=sharing"",""งบพรบ!DZ86"")"),81140)</f>
        <v>81140</v>
      </c>
      <c r="O303" s="45">
        <f t="shared" ca="1" si="136"/>
        <v>98.470873786407765</v>
      </c>
      <c r="P303" s="45">
        <f t="shared" ca="1" si="137"/>
        <v>98.470873786407765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IFERROR(__xludf.DUMMYFUNCTION("IMPORTRANGE(""https://docs.google.com/spreadsheets/d/1MeEWN-I1oV_STSDYn1IFDPWt_1FKiwhDph83XaGc0o0/edit?usp=sharing"",""งบพรบ!DV86"")"),0)</f>
        <v>0</v>
      </c>
      <c r="M306" s="45">
        <f ca="1">IFERROR(__xludf.DUMMYFUNCTION("IMPORTRANGE(""https://docs.google.com/spreadsheets/d/1MeEWN-I1oV_STSDYn1IFDPWt_1FKiwhDph83XaGc0o0/edit?usp=sharing"",""งบพรบ!DY86"")"),0)</f>
        <v>0</v>
      </c>
      <c r="N306" s="45">
        <f ca="1">IFERROR(__xludf.DUMMYFUNCTION("IMPORTRANGE(""https://docs.google.com/spreadsheets/d/1MeEWN-I1oV_STSDYn1IFDPWt_1FKiwhDph83XaGc0o0/edit?usp=sharing"",""งบพรบ!EA86"")"),0)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IFERROR(__xludf.DUMMYFUNCTION("IMPORTRANGE(""https://docs.google.com/spreadsheets/d/1QqKyyYR6Q21VydFLVH3TRQUabQu_ym0Zz7PgGX0-kHA/edit?usp=sharing"",""แผน!ED86"")"),20)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IFERROR(__xludf.DUMMYFUNCTION("IMPORTRANGE(""https://docs.google.com/spreadsheets/d/1QqKyyYR6Q21VydFLVH3TRQUabQu_ym0Zz7PgGX0-kHA/edit?usp=sharing"",""แผน!ED86"")"),20)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IFERROR(__xludf.DUMMYFUNCTION("IMPORTRANGE(""https://docs.google.com/spreadsheets/d/1QqKyyYR6Q21VydFLVH3TRQUabQu_ym0Zz7PgGX0-kHA/edit?usp=sharing"",""แผน!ED86"")"),20)</f>
        <v>20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IFERROR(__xludf.DUMMYFUNCTION("IMPORTRANGE(""https://docs.google.com/spreadsheets/d/1QqKyyYR6Q21VydFLVH3TRQUabQu_ym0Zz7PgGX0-kHA/edit?usp=sharing"",""แผน!EE86"")"),4)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1</v>
      </c>
      <c r="J314" s="421">
        <f t="shared" si="142"/>
        <v>1</v>
      </c>
      <c r="K314" s="422">
        <f ca="1">IF(I314&gt;0,J314*100/I314,0)</f>
        <v>100</v>
      </c>
      <c r="L314" s="423"/>
      <c r="M314" s="423"/>
      <c r="N314" s="423"/>
      <c r="O314" s="423"/>
      <c r="P314" s="423"/>
    </row>
    <row r="315" spans="1:26" ht="19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296000</v>
      </c>
      <c r="M315" s="154">
        <f t="shared" ca="1" si="143"/>
        <v>349620</v>
      </c>
      <c r="N315" s="154">
        <f t="shared" ca="1" si="143"/>
        <v>250904</v>
      </c>
      <c r="O315" s="154">
        <f t="shared" ref="O315:O323" ca="1" si="144">IF(L315&gt;0,N315*100/L315,0)</f>
        <v>84.764864864864862</v>
      </c>
      <c r="P315" s="154">
        <f t="shared" ref="P315:P323" ca="1" si="145">IF(M315&gt;0,N315*100/M315,0)</f>
        <v>71.764773182312226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296000</v>
      </c>
      <c r="M317" s="45">
        <f t="shared" ca="1" si="146"/>
        <v>349620</v>
      </c>
      <c r="N317" s="45">
        <f t="shared" ca="1" si="146"/>
        <v>250904</v>
      </c>
      <c r="O317" s="45">
        <f t="shared" ca="1" si="144"/>
        <v>84.764864864864862</v>
      </c>
      <c r="P317" s="45">
        <f t="shared" ca="1" si="145"/>
        <v>71.764773182312226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296000</v>
      </c>
      <c r="M318" s="38">
        <f t="shared" ca="1" si="147"/>
        <v>296000</v>
      </c>
      <c r="N318" s="38">
        <f t="shared" ca="1" si="147"/>
        <v>231644</v>
      </c>
      <c r="O318" s="38">
        <f t="shared" ca="1" si="144"/>
        <v>78.258108108108104</v>
      </c>
      <c r="P318" s="38">
        <f t="shared" ca="1" si="145"/>
        <v>78.258108108108104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IFERROR(__xludf.DUMMYFUNCTION("IMPORTRANGE(""https://docs.google.com/spreadsheets/d/1MeEWN-I1oV_STSDYn1IFDPWt_1FKiwhDph83XaGc0o0/edit?usp=sharing"",""งบพรบ!EC86"")"),296000)</f>
        <v>296000</v>
      </c>
      <c r="M320" s="45">
        <f ca="1">IFERROR(__xludf.DUMMYFUNCTION("IMPORTRANGE(""https://docs.google.com/spreadsheets/d/1MeEWN-I1oV_STSDYn1IFDPWt_1FKiwhDph83XaGc0o0/edit?usp=sharing"",""งบพรบ!EH86"")"),296000)</f>
        <v>296000</v>
      </c>
      <c r="N320" s="45">
        <f ca="1">IFERROR(__xludf.DUMMYFUNCTION("IMPORTRANGE(""https://docs.google.com/spreadsheets/d/1MeEWN-I1oV_STSDYn1IFDPWt_1FKiwhDph83XaGc0o0/edit?usp=sharing"",""งบพรบ!EJ86"")"),231644)</f>
        <v>231644</v>
      </c>
      <c r="O320" s="45">
        <f t="shared" ca="1" si="144"/>
        <v>78.258108108108104</v>
      </c>
      <c r="P320" s="45">
        <f t="shared" ca="1" si="145"/>
        <v>78.258108108108104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53620</v>
      </c>
      <c r="N321" s="38">
        <f t="shared" ca="1" si="148"/>
        <v>19260</v>
      </c>
      <c r="O321" s="38">
        <f t="shared" ca="1" si="144"/>
        <v>0</v>
      </c>
      <c r="P321" s="38">
        <f t="shared" ca="1" si="145"/>
        <v>35.919433047370383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IFERROR(__xludf.DUMMYFUNCTION("IMPORTRANGE(""https://docs.google.com/spreadsheets/d/1MeEWN-I1oV_STSDYn1IFDPWt_1FKiwhDph83XaGc0o0/edit?usp=sharing"",""งบพรบ!EF86"")"),0)</f>
        <v>0</v>
      </c>
      <c r="M323" s="45">
        <f ca="1">IFERROR(__xludf.DUMMYFUNCTION("IMPORTRANGE(""https://docs.google.com/spreadsheets/d/1MeEWN-I1oV_STSDYn1IFDPWt_1FKiwhDph83XaGc0o0/edit?usp=sharing"",""งบพรบ!EI86"")"),53620)</f>
        <v>53620</v>
      </c>
      <c r="N323" s="45">
        <f ca="1">IFERROR(__xludf.DUMMYFUNCTION("IMPORTRANGE(""https://docs.google.com/spreadsheets/d/1MeEWN-I1oV_STSDYn1IFDPWt_1FKiwhDph83XaGc0o0/edit?usp=sharing"",""งบพรบ!EK86"")"),19260)</f>
        <v>19260</v>
      </c>
      <c r="O323" s="45">
        <f t="shared" ca="1" si="144"/>
        <v>0</v>
      </c>
      <c r="P323" s="45">
        <f t="shared" ca="1" si="145"/>
        <v>35.919433047370383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IFERROR(__xludf.DUMMYFUNCTION("IMPORTRANGE(""https://docs.google.com/spreadsheets/d/1QqKyyYR6Q21VydFLVH3TRQUabQu_ym0Zz7PgGX0-kHA/edit?usp=sharing"",""แผน!EF86"")"),1)</f>
        <v>1</v>
      </c>
      <c r="J325" s="181">
        <v>1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IFERROR(__xludf.DUMMYFUNCTION("IMPORTRANGE(""https://docs.google.com/spreadsheets/d/1QqKyyYR6Q21VydFLVH3TRQUabQu_ym0Zz7PgGX0-kHA/edit?usp=sharing"",""แผน!EG86"")"),1300)</f>
        <v>1300</v>
      </c>
      <c r="J327" s="421">
        <f ca="1">J338+J341+J342+J343</f>
        <v>3230</v>
      </c>
      <c r="K327" s="422">
        <f ca="1">IF(I327&gt;0,J327*100/I327,0)</f>
        <v>248.46153846153845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168000</v>
      </c>
      <c r="M328" s="154">
        <f t="shared" ca="1" si="149"/>
        <v>170500</v>
      </c>
      <c r="N328" s="154">
        <f t="shared" ca="1" si="149"/>
        <v>136450</v>
      </c>
      <c r="O328" s="154">
        <f t="shared" ref="O328:O336" ca="1" si="150">IF(L328&gt;0,N328*100/L328,0)</f>
        <v>81.220238095238102</v>
      </c>
      <c r="P328" s="154">
        <f t="shared" ref="P328:P336" ca="1" si="151">IF(M328&gt;0,N328*100/M328,0)</f>
        <v>80.029325513196483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168000</v>
      </c>
      <c r="M330" s="45">
        <f t="shared" ca="1" si="152"/>
        <v>170500</v>
      </c>
      <c r="N330" s="45">
        <f t="shared" ca="1" si="152"/>
        <v>136450</v>
      </c>
      <c r="O330" s="45">
        <f t="shared" ca="1" si="150"/>
        <v>81.220238095238102</v>
      </c>
      <c r="P330" s="45">
        <f t="shared" ca="1" si="151"/>
        <v>80.029325513196483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168000</v>
      </c>
      <c r="M331" s="38">
        <f t="shared" ca="1" si="153"/>
        <v>170500</v>
      </c>
      <c r="N331" s="38">
        <f t="shared" ca="1" si="153"/>
        <v>136450</v>
      </c>
      <c r="O331" s="38">
        <f t="shared" ca="1" si="150"/>
        <v>81.220238095238102</v>
      </c>
      <c r="P331" s="38">
        <f t="shared" ca="1" si="151"/>
        <v>80.029325513196483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IFERROR(__xludf.DUMMYFUNCTION("IMPORTRANGE(""https://docs.google.com/spreadsheets/d/1MeEWN-I1oV_STSDYn1IFDPWt_1FKiwhDph83XaGc0o0/edit?usp=sharing"",""งบพรบ!EM86"")"),168000)</f>
        <v>168000</v>
      </c>
      <c r="M333" s="45">
        <f ca="1">IFERROR(__xludf.DUMMYFUNCTION("IMPORTRANGE(""https://docs.google.com/spreadsheets/d/1MeEWN-I1oV_STSDYn1IFDPWt_1FKiwhDph83XaGc0o0/edit?usp=sharing"",""งบพรบ!ER86"")"),170500)</f>
        <v>170500</v>
      </c>
      <c r="N333" s="45">
        <f ca="1">IFERROR(__xludf.DUMMYFUNCTION("IMPORTRANGE(""https://docs.google.com/spreadsheets/d/1MeEWN-I1oV_STSDYn1IFDPWt_1FKiwhDph83XaGc0o0/edit?usp=sharing"",""งบพรบ!ET86"")"),136450)</f>
        <v>136450</v>
      </c>
      <c r="O333" s="45">
        <f t="shared" ca="1" si="150"/>
        <v>81.220238095238102</v>
      </c>
      <c r="P333" s="45">
        <f t="shared" ca="1" si="151"/>
        <v>80.029325513196483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IFERROR(__xludf.DUMMYFUNCTION("IMPORTRANGE(""https://docs.google.com/spreadsheets/d/1MeEWN-I1oV_STSDYn1IFDPWt_1FKiwhDph83XaGc0o0/edit?usp=sharing"",""งบพรบ!EP86"")"),0)</f>
        <v>0</v>
      </c>
      <c r="M336" s="45">
        <f ca="1">IFERROR(__xludf.DUMMYFUNCTION("IMPORTRANGE(""https://docs.google.com/spreadsheets/d/1MeEWN-I1oV_STSDYn1IFDPWt_1FKiwhDph83XaGc0o0/edit?usp=sharing"",""งบพรบ!ES86"")"),0)</f>
        <v>0</v>
      </c>
      <c r="N336" s="45">
        <f ca="1">IFERROR(__xludf.DUMMYFUNCTION("IMPORTRANGE(""https://docs.google.com/spreadsheets/d/1MeEWN-I1oV_STSDYn1IFDPWt_1FKiwhDph83XaGc0o0/edit?usp=sharing"",""งบพรบ!EU86"")"),0)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IFERROR(__xludf.DUMMYFUNCTION("IMPORTRANGE(""https://docs.google.com/spreadsheets/d/1QqKyyYR6Q21VydFLVH3TRQUabQu_ym0Zz7PgGX0-kHA/edit?usp=sharing"",""แผน!EG86"")"),1300)</f>
        <v>1300</v>
      </c>
      <c r="J338" s="37">
        <f ca="1">IFERROR(__xludf.DUMMYFUNCTION("IMPORTRANGE(""https://docs.google.com/spreadsheets/d/1kVcqe37tkHyjCSG3S0O1AXqVkqjo8mSIZil3BcpIysc/edit?usp=sharing"",""ศูนย์!D86"")"),3067)</f>
        <v>3067</v>
      </c>
      <c r="K338" s="38">
        <f ca="1">IF(I338&gt;0,J338*100/I338,0)</f>
        <v>235.92307692307693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IFERROR(__xludf.DUMMYFUNCTION("IMPORTRANGE(""https://docs.google.com/spreadsheets/d/1QqKyyYR6Q21VydFLVH3TRQUabQu_ym0Zz7PgGX0-kHA/edit?usp=sharing"",""แผน!EH86"")"),5)</f>
        <v>5</v>
      </c>
      <c r="J340" s="37">
        <f ca="1">IFERROR(__xludf.DUMMYFUNCTION("IMPORTRANGE(""https://docs.google.com/spreadsheets/d/1kVcqe37tkHyjCSG3S0O1AXqVkqjo8mSIZil3BcpIysc/edit?usp=sharing"",""ศูนย์!E86"")"),2)</f>
        <v>2</v>
      </c>
      <c r="K340" s="38">
        <f ca="1">IF(I340&gt;0,J340*100/I340,0)</f>
        <v>40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IFERROR(__xludf.DUMMYFUNCTION("IMPORTRANGE(""https://docs.google.com/spreadsheets/d/1kVcqe37tkHyjCSG3S0O1AXqVkqjo8mSIZil3BcpIysc/edit?usp=sharing"",""ศูนย์!F86"")"),129)</f>
        <v>129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IFERROR(__xludf.DUMMYFUNCTION("IMPORTRANGE(""https://docs.google.com/spreadsheets/d/1kVcqe37tkHyjCSG3S0O1AXqVkqjo8mSIZil3BcpIysc/edit?usp=sharing"",""ศูนย์!G86"")"),2)</f>
        <v>2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IFERROR(__xludf.DUMMYFUNCTION("IMPORTRANGE(""https://docs.google.com/spreadsheets/d/1kVcqe37tkHyjCSG3S0O1AXqVkqjo8mSIZil3BcpIysc/edit?usp=sharing"",""ศูนย์!H86"")"),32)</f>
        <v>32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738610</v>
      </c>
      <c r="M345" s="154">
        <f t="shared" ca="1" si="155"/>
        <v>884910</v>
      </c>
      <c r="N345" s="154">
        <f t="shared" ca="1" si="155"/>
        <v>614920.44999999995</v>
      </c>
      <c r="O345" s="154">
        <f t="shared" ref="O345:O353" ca="1" si="156">IF(L345&gt;0,N345*100/L345,0)</f>
        <v>83.253740133493991</v>
      </c>
      <c r="P345" s="154">
        <f t="shared" ref="P345:P353" ca="1" si="157">IF(M345&gt;0,N345*100/M345,0)</f>
        <v>69.489603462499005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738610</v>
      </c>
      <c r="M347" s="45">
        <f t="shared" ca="1" si="158"/>
        <v>884910</v>
      </c>
      <c r="N347" s="45">
        <f t="shared" ca="1" si="158"/>
        <v>614920.44999999995</v>
      </c>
      <c r="O347" s="45">
        <f t="shared" ca="1" si="156"/>
        <v>83.253740133493991</v>
      </c>
      <c r="P347" s="45">
        <f t="shared" ca="1" si="157"/>
        <v>69.489603462499005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700810</v>
      </c>
      <c r="M348" s="38">
        <f t="shared" ca="1" si="159"/>
        <v>804710</v>
      </c>
      <c r="N348" s="38">
        <f t="shared" ca="1" si="159"/>
        <v>577120.44999999995</v>
      </c>
      <c r="O348" s="38">
        <f t="shared" ca="1" si="156"/>
        <v>82.350487293274909</v>
      </c>
      <c r="P348" s="38">
        <f t="shared" ca="1" si="157"/>
        <v>71.717817598886541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IFERROR(__xludf.DUMMYFUNCTION("IMPORTRANGE(""https://docs.google.com/spreadsheets/d/1MeEWN-I1oV_STSDYn1IFDPWt_1FKiwhDph83XaGc0o0/edit?usp=sharing"",""งบพรบ!EW86"")"),700810)</f>
        <v>700810</v>
      </c>
      <c r="M350" s="45">
        <f ca="1">IFERROR(__xludf.DUMMYFUNCTION("IMPORTRANGE(""https://docs.google.com/spreadsheets/d/1MeEWN-I1oV_STSDYn1IFDPWt_1FKiwhDph83XaGc0o0/edit?usp=sharing"",""งบพรบ!FB86"")"),804710)</f>
        <v>804710</v>
      </c>
      <c r="N350" s="45">
        <f ca="1">IFERROR(__xludf.DUMMYFUNCTION("IMPORTRANGE(""https://docs.google.com/spreadsheets/d/1MeEWN-I1oV_STSDYn1IFDPWt_1FKiwhDph83XaGc0o0/edit?usp=sharing"",""งบพรบ!FD86"")"),577120.45)</f>
        <v>577120.44999999995</v>
      </c>
      <c r="O350" s="45">
        <f t="shared" ca="1" si="156"/>
        <v>82.350487293274909</v>
      </c>
      <c r="P350" s="45">
        <f t="shared" ca="1" si="157"/>
        <v>71.717817598886541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37800</v>
      </c>
      <c r="M351" s="38">
        <f t="shared" ca="1" si="160"/>
        <v>80200</v>
      </c>
      <c r="N351" s="38">
        <f t="shared" ca="1" si="160"/>
        <v>37800</v>
      </c>
      <c r="O351" s="38">
        <f t="shared" ca="1" si="156"/>
        <v>100</v>
      </c>
      <c r="P351" s="38">
        <f t="shared" ca="1" si="157"/>
        <v>47.132169576059852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IFERROR(__xludf.DUMMYFUNCTION("IMPORTRANGE(""https://docs.google.com/spreadsheets/d/1MeEWN-I1oV_STSDYn1IFDPWt_1FKiwhDph83XaGc0o0/edit?usp=sharing"",""งบพรบ!EZ86"")"),37800)</f>
        <v>37800</v>
      </c>
      <c r="M353" s="45">
        <f ca="1">IFERROR(__xludf.DUMMYFUNCTION("IMPORTRANGE(""https://docs.google.com/spreadsheets/d/1MeEWN-I1oV_STSDYn1IFDPWt_1FKiwhDph83XaGc0o0/edit?usp=sharing"",""งบพรบ!FC86"")"),80200)</f>
        <v>80200</v>
      </c>
      <c r="N353" s="45">
        <f ca="1">IFERROR(__xludf.DUMMYFUNCTION("IMPORTRANGE(""https://docs.google.com/spreadsheets/d/1MeEWN-I1oV_STSDYn1IFDPWt_1FKiwhDph83XaGc0o0/edit?usp=sharing"",""งบพรบ!FE86"")"),37800)</f>
        <v>37800</v>
      </c>
      <c r="O353" s="45">
        <f t="shared" ca="1" si="156"/>
        <v>100</v>
      </c>
      <c r="P353" s="45">
        <f t="shared" ca="1" si="157"/>
        <v>47.132169576059852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IFERROR(__xludf.DUMMYFUNCTION("IMPORTRANGE(""https://docs.google.com/spreadsheets/d/1QqKyyYR6Q21VydFLVH3TRQUabQu_ym0Zz7PgGX0-kHA/edit?usp=sharing"",""แผน!EP86"")"),140)</f>
        <v>140</v>
      </c>
      <c r="J355" s="438">
        <f ca="1">J362</f>
        <v>88</v>
      </c>
      <c r="K355" s="439">
        <f ca="1">IF(I355&gt;0,J355*100/I355,0)</f>
        <v>62.857142857142854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IFERROR(__xludf.DUMMYFUNCTION("IMPORTRANGE(""https://docs.google.com/spreadsheets/d/1XWAQStnk-4SwqDmLtmXYiTMKHgktTP8We1SCoS47DrQ/edit?usp=sharing"",""จัดที่ดิน!W86"")"),211)</f>
        <v>211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IFERROR(__xludf.DUMMYFUNCTION("IMPORTRANGE(""https://docs.google.com/spreadsheets/d/1QqKyyYR6Q21VydFLVH3TRQUabQu_ym0Zz7PgGX0-kHA/edit?usp=sharing"",""แผน!EO86"")"),1400)</f>
        <v>1400</v>
      </c>
      <c r="J359" s="37">
        <f ca="1">IFERROR(__xludf.DUMMYFUNCTION("IMPORTRANGE(""https://docs.google.com/spreadsheets/d/1XWAQStnk-4SwqDmLtmXYiTMKHgktTP8We1SCoS47DrQ/edit?usp=sharing"",""จัดที่ดิน!X86"")"),1565.61)</f>
        <v>1565.61</v>
      </c>
      <c r="K359" s="38">
        <f t="shared" ca="1" si="161"/>
        <v>111.82928571428572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IFERROR(__xludf.DUMMYFUNCTION("IMPORTRANGE(""https://docs.google.com/spreadsheets/d/1QqKyyYR6Q21VydFLVH3TRQUabQu_ym0Zz7PgGX0-kHA/edit?usp=sharing"",""แผน!EP86"")"),140)</f>
        <v>140</v>
      </c>
      <c r="J360" s="37">
        <f ca="1">IFERROR(__xludf.DUMMYFUNCTION("IMPORTRANGE(""https://docs.google.com/spreadsheets/d/1XWAQStnk-4SwqDmLtmXYiTMKHgktTP8We1SCoS47DrQ/edit?usp=sharing"",""จัดที่ดิน!Y86"")"),176)</f>
        <v>176</v>
      </c>
      <c r="K360" s="38">
        <f t="shared" ca="1" si="161"/>
        <v>125.71428571428571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IFERROR(__xludf.DUMMYFUNCTION("IMPORTRANGE(""https://docs.google.com/spreadsheets/d/1XWAQStnk-4SwqDmLtmXYiTMKHgktTP8We1SCoS47DrQ/edit?usp=sharing"",""จัดที่ดิน!Z86"")"),1398.2)</f>
        <v>1398.2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IFERROR(__xludf.DUMMYFUNCTION("IMPORTRANGE(""https://docs.google.com/spreadsheets/d/1QqKyyYR6Q21VydFLVH3TRQUabQu_ym0Zz7PgGX0-kHA/edit?usp=sharing"",""แผน!EP86"")"),140)</f>
        <v>140</v>
      </c>
      <c r="J362" s="37">
        <f ca="1">IFERROR(__xludf.DUMMYFUNCTION("IMPORTRANGE(""https://docs.google.com/spreadsheets/d/1XWAQStnk-4SwqDmLtmXYiTMKHgktTP8We1SCoS47DrQ/edit?usp=sharing"",""จัดที่ดิน!AA86"")"),88)</f>
        <v>88</v>
      </c>
      <c r="K362" s="38">
        <f t="shared" ca="1" si="161"/>
        <v>62.857142857142854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IFERROR(__xludf.DUMMYFUNCTION("IMPORTRANGE(""https://docs.google.com/spreadsheets/d/1XWAQStnk-4SwqDmLtmXYiTMKHgktTP8We1SCoS47DrQ/edit?usp=sharing"",""จัดที่ดิน!AB86"")"),655.569999999999)</f>
        <v>655.56999999999903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290</v>
      </c>
      <c r="J364" s="452">
        <f t="shared" ca="1" si="162"/>
        <v>325</v>
      </c>
      <c r="K364" s="453">
        <f t="shared" ca="1" si="161"/>
        <v>112.06896551724138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IFERROR(__xludf.DUMMYFUNCTION("IMPORTRANGE(""https://docs.google.com/spreadsheets/d/1QqKyyYR6Q21VydFLVH3TRQUabQu_ym0Zz7PgGX0-kHA/edit?usp=sharing"",""แผน!EJ86"")"),40)</f>
        <v>40</v>
      </c>
      <c r="J365" s="462">
        <f ca="1">J372</f>
        <v>46</v>
      </c>
      <c r="K365" s="463">
        <f t="shared" ca="1" si="161"/>
        <v>115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IFERROR(__xludf.DUMMYFUNCTION("IMPORTRANGE(""https://docs.google.com/spreadsheets/d/1XWAQStnk-4SwqDmLtmXYiTMKHgktTP8We1SCoS47DrQ/edit?usp=sharing"",""จัดที่ดิน!E86"")"),63)</f>
        <v>63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IFERROR(__xludf.DUMMYFUNCTION("IMPORTRANGE(""https://docs.google.com/spreadsheets/d/1QqKyyYR6Q21VydFLVH3TRQUabQu_ym0Zz7PgGX0-kHA/edit?usp=sharing"",""แผน!EI86"")"),400)</f>
        <v>400</v>
      </c>
      <c r="J369" s="37">
        <f ca="1">IFERROR(__xludf.DUMMYFUNCTION("IMPORTRANGE(""https://docs.google.com/spreadsheets/d/1XWAQStnk-4SwqDmLtmXYiTMKHgktTP8We1SCoS47DrQ/edit?usp=sharing"",""จัดที่ดิน!F86"")"),454.4)</f>
        <v>454.4</v>
      </c>
      <c r="K369" s="38">
        <f t="shared" ca="1" si="163"/>
        <v>113.6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IFERROR(__xludf.DUMMYFUNCTION("IMPORTRANGE(""https://docs.google.com/spreadsheets/d/1QqKyyYR6Q21VydFLVH3TRQUabQu_ym0Zz7PgGX0-kHA/edit?usp=sharing"",""แผน!EJ86"")"),40)</f>
        <v>40</v>
      </c>
      <c r="J370" s="37">
        <f ca="1">IFERROR(__xludf.DUMMYFUNCTION("IMPORTRANGE(""https://docs.google.com/spreadsheets/d/1XWAQStnk-4SwqDmLtmXYiTMKHgktTP8We1SCoS47DrQ/edit?usp=sharing"",""จัดที่ดิน!G86"")"),63)</f>
        <v>63</v>
      </c>
      <c r="K370" s="38">
        <f t="shared" ca="1" si="163"/>
        <v>157.5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IFERROR(__xludf.DUMMYFUNCTION("IMPORTRANGE(""https://docs.google.com/spreadsheets/d/1XWAQStnk-4SwqDmLtmXYiTMKHgktTP8We1SCoS47DrQ/edit?usp=sharing"",""จัดที่ดิน!H86"")"),451.95)</f>
        <v>451.95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IFERROR(__xludf.DUMMYFUNCTION("IMPORTRANGE(""https://docs.google.com/spreadsheets/d/1QqKyyYR6Q21VydFLVH3TRQUabQu_ym0Zz7PgGX0-kHA/edit?usp=sharing"",""แผน!EJ86"")"),40)</f>
        <v>40</v>
      </c>
      <c r="J372" s="37">
        <f ca="1">IFERROR(__xludf.DUMMYFUNCTION("IMPORTRANGE(""https://docs.google.com/spreadsheets/d/1XWAQStnk-4SwqDmLtmXYiTMKHgktTP8We1SCoS47DrQ/edit?usp=sharing"",""จัดที่ดิน!I86"")"),46)</f>
        <v>46</v>
      </c>
      <c r="K372" s="38">
        <f t="shared" ca="1" si="163"/>
        <v>115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IFERROR(__xludf.DUMMYFUNCTION("IMPORTRANGE(""https://docs.google.com/spreadsheets/d/1XWAQStnk-4SwqDmLtmXYiTMKHgktTP8We1SCoS47DrQ/edit?usp=sharing"",""จัดที่ดิน!J86"")"),320.74)</f>
        <v>320.74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IFERROR(__xludf.DUMMYFUNCTION("IMPORTRANGE(""https://docs.google.com/spreadsheets/d/1QqKyyYR6Q21VydFLVH3TRQUabQu_ym0Zz7PgGX0-kHA/edit?usp=sharing"",""แผน!EU86"")"),250)</f>
        <v>250</v>
      </c>
      <c r="J374" s="462">
        <f ca="1">J381</f>
        <v>279</v>
      </c>
      <c r="K374" s="463">
        <f t="shared" ca="1" si="163"/>
        <v>111.6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IFERROR(__xludf.DUMMYFUNCTION("IMPORTRANGE(""https://docs.google.com/spreadsheets/d/1XWAQStnk-4SwqDmLtmXYiTMKHgktTP8We1SCoS47DrQ/edit?usp=sharing"",""จัดที่ดิน!AH86"")"),148)</f>
        <v>148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IFERROR(__xludf.DUMMYFUNCTION("IMPORTRANGE(""https://docs.google.com/spreadsheets/d/1QqKyyYR6Q21VydFLVH3TRQUabQu_ym0Zz7PgGX0-kHA/edit?usp=sharing"",""แผน!ET86"")"),1000)</f>
        <v>1000</v>
      </c>
      <c r="J378" s="37">
        <f ca="1">IFERROR(__xludf.DUMMYFUNCTION("IMPORTRANGE(""https://docs.google.com/spreadsheets/d/1XWAQStnk-4SwqDmLtmXYiTMKHgktTP8We1SCoS47DrQ/edit?usp=sharing"",""จัดที่ดิน!AI86"")"),1111.21)</f>
        <v>1111.21</v>
      </c>
      <c r="K378" s="38">
        <f t="shared" ca="1" si="164"/>
        <v>111.121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IFERROR(__xludf.DUMMYFUNCTION("IMPORTRANGE(""https://docs.google.com/spreadsheets/d/1QqKyyYR6Q21VydFLVH3TRQUabQu_ym0Zz7PgGX0-kHA/edit?usp=sharing"",""แผน!EU86"")"),250)</f>
        <v>250</v>
      </c>
      <c r="J379" s="37">
        <f ca="1">IFERROR(__xludf.DUMMYFUNCTION("IMPORTRANGE(""https://docs.google.com/spreadsheets/d/1XWAQStnk-4SwqDmLtmXYiTMKHgktTP8We1SCoS47DrQ/edit?usp=sharing"",""จัดที่ดิน!AJ86"")"),396)</f>
        <v>396</v>
      </c>
      <c r="K379" s="38">
        <f t="shared" ca="1" si="164"/>
        <v>158.4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IFERROR(__xludf.DUMMYFUNCTION("IMPORTRANGE(""https://docs.google.com/spreadsheets/d/1XWAQStnk-4SwqDmLtmXYiTMKHgktTP8We1SCoS47DrQ/edit?usp=sharing"",""จัดที่ดิน!AK86"")"),4339.08)</f>
        <v>4339.08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IFERROR(__xludf.DUMMYFUNCTION("IMPORTRANGE(""https://docs.google.com/spreadsheets/d/1QqKyyYR6Q21VydFLVH3TRQUabQu_ym0Zz7PgGX0-kHA/edit?usp=sharing"",""แผน!EU86"")"),250)</f>
        <v>250</v>
      </c>
      <c r="J381" s="37">
        <f ca="1">IFERROR(__xludf.DUMMYFUNCTION("IMPORTRANGE(""https://docs.google.com/spreadsheets/d/1XWAQStnk-4SwqDmLtmXYiTMKHgktTP8We1SCoS47DrQ/edit?usp=sharing"",""จัดที่ดิน!AL86"")"),279)</f>
        <v>279</v>
      </c>
      <c r="K381" s="38">
        <f t="shared" ca="1" si="164"/>
        <v>111.6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IFERROR(__xludf.DUMMYFUNCTION("IMPORTRANGE(""https://docs.google.com/spreadsheets/d/1XWAQStnk-4SwqDmLtmXYiTMKHgktTP8We1SCoS47DrQ/edit?usp=sharing"",""จัดที่ดิน!AM86"")"),3130.84)</f>
        <v>3130.84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IFERROR(__xludf.DUMMYFUNCTION("IMPORTRANGE(""https://docs.google.com/spreadsheets/d/1QqKyyYR6Q21VydFLVH3TRQUabQu_ym0Zz7PgGX0-kHA/edit?usp=sharing"",""แผน!EW86"")"),20)</f>
        <v>20</v>
      </c>
      <c r="J385" s="365">
        <f ca="1">IFERROR(__xludf.DUMMYFUNCTION("IMPORTRANGE(""https://docs.google.com/spreadsheets/d/1XWAQStnk-4SwqDmLtmXYiTMKHgktTP8We1SCoS47DrQ/edit?usp=sharing"",""จัดที่ดิน!AP86"")"),12)</f>
        <v>12</v>
      </c>
      <c r="K385" s="475">
        <f ca="1">IF(I385&gt;0,J385*100/I385,0)</f>
        <v>60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IFERROR(__xludf.DUMMYFUNCTION("IMPORTRANGE(""https://docs.google.com/spreadsheets/d/1MeEWN-I1oV_STSDYn1IFDPWt_1FKiwhDph83XaGc0o0/edit?usp=sharing"",""งบพรบ!FG86"")"),0)</f>
        <v>0</v>
      </c>
      <c r="M394" s="45">
        <f ca="1">IFERROR(__xludf.DUMMYFUNCTION("IMPORTRANGE(""https://docs.google.com/spreadsheets/d/1MeEWN-I1oV_STSDYn1IFDPWt_1FKiwhDph83XaGc0o0/edit?usp=sharing"",""งบพรบ!FL86"")"),0)</f>
        <v>0</v>
      </c>
      <c r="N394" s="45">
        <f ca="1">IFERROR(__xludf.DUMMYFUNCTION("IMPORTRANGE(""https://docs.google.com/spreadsheets/d/1MeEWN-I1oV_STSDYn1IFDPWt_1FKiwhDph83XaGc0o0/edit?usp=sharing"",""งบพรบ!FN86"")"),0)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IFERROR(__xludf.DUMMYFUNCTION("IMPORTRANGE(""https://docs.google.com/spreadsheets/d/1MeEWN-I1oV_STSDYn1IFDPWt_1FKiwhDph83XaGc0o0/edit?usp=sharing"",""งบพรบ!FJ86"")"),0)</f>
        <v>0</v>
      </c>
      <c r="M397" s="45">
        <f ca="1">IFERROR(__xludf.DUMMYFUNCTION("IMPORTRANGE(""https://docs.google.com/spreadsheets/d/1MeEWN-I1oV_STSDYn1IFDPWt_1FKiwhDph83XaGc0o0/edit?usp=sharing"",""งบพรบ!FM86"")"),0)</f>
        <v>0</v>
      </c>
      <c r="N397" s="45">
        <f ca="1">IFERROR(__xludf.DUMMYFUNCTION("IMPORTRANGE(""https://docs.google.com/spreadsheets/d/1MeEWN-I1oV_STSDYn1IFDPWt_1FKiwhDph83XaGc0o0/edit?usp=sharing"",""งบพรบ!FO86"")"),0)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0</v>
      </c>
      <c r="J401" s="495">
        <f t="shared" si="173"/>
        <v>0</v>
      </c>
      <c r="K401" s="496">
        <f t="shared" si="172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IFERROR(__xludf.DUMMYFUNCTION("IMPORTRANGE(""https://docs.google.com/spreadsheets/d/1MeEWN-I1oV_STSDYn1IFDPWt_1FKiwhDph83XaGc0o0/edit?usp=sharing"",""งบพรบ!FQ86"")"),0)</f>
        <v>0</v>
      </c>
      <c r="M407" s="45">
        <f ca="1">IFERROR(__xludf.DUMMYFUNCTION("IMPORTRANGE(""https://docs.google.com/spreadsheets/d/1MeEWN-I1oV_STSDYn1IFDPWt_1FKiwhDph83XaGc0o0/edit?usp=sharing"",""งบพรบ!FV86"")"),0)</f>
        <v>0</v>
      </c>
      <c r="N407" s="45">
        <f ca="1">IFERROR(__xludf.DUMMYFUNCTION("IMPORTRANGE(""https://docs.google.com/spreadsheets/d/1MeEWN-I1oV_STSDYn1IFDPWt_1FKiwhDph83XaGc0o0/edit?usp=sharing"",""งบพรบ!FX86"")"),0)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IFERROR(__xludf.DUMMYFUNCTION("IMPORTRANGE(""https://docs.google.com/spreadsheets/d/1MeEWN-I1oV_STSDYn1IFDPWt_1FKiwhDph83XaGc0o0/edit?usp=sharing"",""งบพรบ!FT86"")"),0)</f>
        <v>0</v>
      </c>
      <c r="M410" s="45">
        <f ca="1">IFERROR(__xludf.DUMMYFUNCTION("IMPORTRANGE(""https://docs.google.com/spreadsheets/d/1MeEWN-I1oV_STSDYn1IFDPWt_1FKiwhDph83XaGc0o0/edit?usp=sharing"",""งบพรบ!FW86"")"),0)</f>
        <v>0</v>
      </c>
      <c r="N410" s="45">
        <f ca="1">IFERROR(__xludf.DUMMYFUNCTION("IMPORTRANGE(""https://docs.google.com/spreadsheets/d/1MeEWN-I1oV_STSDYn1IFDPWt_1FKiwhDph83XaGc0o0/edit?usp=sharing"",""งบพรบ!FY86"")"),0)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80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1882353</v>
      </c>
      <c r="M414" s="521">
        <f t="shared" ca="1" si="181"/>
        <v>1882353</v>
      </c>
      <c r="N414" s="521">
        <f t="shared" si="181"/>
        <v>2041151.7</v>
      </c>
      <c r="O414" s="521">
        <f ca="1">IF(L414&gt;0,N414*100/L414,0)</f>
        <v>108.43618067386936</v>
      </c>
      <c r="P414" s="521">
        <f ca="1">IF(M414&gt;0,N414*100/M414,0)</f>
        <v>108.43618067386936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20</v>
      </c>
      <c r="J417" s="536">
        <f t="shared" ca="1" si="182"/>
        <v>20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1</v>
      </c>
      <c r="J418" s="536">
        <f t="shared" si="182"/>
        <v>0</v>
      </c>
      <c r="K418" s="537">
        <f t="shared" ca="1" si="183"/>
        <v>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78660</v>
      </c>
      <c r="O419" s="154">
        <f t="shared" ref="O419:O424" ca="1" si="185">IF(L419&gt;0,N419*100/L419,0)</f>
        <v>100</v>
      </c>
      <c r="P419" s="154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78660</v>
      </c>
      <c r="O421" s="45">
        <f t="shared" ca="1" si="185"/>
        <v>100</v>
      </c>
      <c r="P421" s="45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78660</v>
      </c>
      <c r="O422" s="38">
        <f t="shared" ca="1" si="185"/>
        <v>100</v>
      </c>
      <c r="P422" s="3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IFERROR(__xludf.DUMMYFUNCTION("IMPORTRANGE(""https://docs.google.com/spreadsheets/d/1QqKyyYR6Q21VydFLVH3TRQUabQu_ym0Zz7PgGX0-kHA/edit?usp=sharing"",""แผน!EY86"")"),78660)</f>
        <v>78660</v>
      </c>
      <c r="M424" s="45">
        <f ca="1">L424</f>
        <v>78660</v>
      </c>
      <c r="N424" s="45">
        <f>N425+N426+N427+N428</f>
        <v>78660</v>
      </c>
      <c r="O424" s="45">
        <f t="shared" ca="1" si="185"/>
        <v>100</v>
      </c>
      <c r="P424" s="45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48400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30260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IFERROR(__xludf.DUMMYFUNCTION("IMPORTRANGE(""https://docs.google.com/spreadsheets/d/1QqKyyYR6Q21VydFLVH3TRQUabQu_ym0Zz7PgGX0-kHA/edit?usp=sharing"",""แผน!FB86"")"),0)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0</v>
      </c>
      <c r="K434" s="191">
        <f t="shared" ca="1" si="192"/>
        <v>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IFERROR(__xludf.DUMMYFUNCTION("IMPORTRANGE(""https://docs.google.com/spreadsheets/d/1QqKyyYR6Q21VydFLVH3TRQUabQu_ym0Zz7PgGX0-kHA/edit?usp=sharing"",""แผน!FC86"")"),20)</f>
        <v>20</v>
      </c>
      <c r="J435" s="549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IFERROR(__xludf.DUMMYFUNCTION("IMPORTRANGE(""https://docs.google.com/spreadsheets/d/1QqKyyYR6Q21VydFLVH3TRQUabQu_ym0Zz7PgGX0-kHA/edit?usp=sharing"",""แผน!FD86"")"),0)</f>
        <v>0</v>
      </c>
      <c r="J437" s="549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IFERROR(__xludf.DUMMYFUNCTION("IMPORTRANGE(""https://docs.google.com/spreadsheets/d/1QqKyyYR6Q21VydFLVH3TRQUabQu_ym0Zz7PgGX0-kHA/edit?usp=sharing"",""แผน!FE86"")"),0)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IFERROR(__xludf.DUMMYFUNCTION("IMPORTRANGE(""https://docs.google.com/spreadsheets/d/1QqKyyYR6Q21VydFLVH3TRQUabQu_ym0Zz7PgGX0-kHA/edit?usp=sharing"",""แผน!FF86"")"),20)</f>
        <v>20</v>
      </c>
      <c r="J439" s="549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IFERROR(__xludf.DUMMYFUNCTION("IMPORTRANGE(""https://docs.google.com/spreadsheets/d/1QqKyyYR6Q21VydFLVH3TRQUabQu_ym0Zz7PgGX0-kHA/edit?usp=sharing"",""แผน!FG86"")"),1)</f>
        <v>1</v>
      </c>
      <c r="J440" s="181">
        <v>0</v>
      </c>
      <c r="K440" s="38">
        <f t="shared" ca="1" si="194"/>
        <v>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IFERROR(__xludf.DUMMYFUNCTION("IMPORTRANGE(""https://docs.google.com/spreadsheets/d/1QqKyyYR6Q21VydFLVH3TRQUabQu_ym0Zz7PgGX0-kHA/edit?usp=sharing"",""แผน!FH86"")"),0)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60</v>
      </c>
      <c r="J442" s="555">
        <f t="shared" si="195"/>
        <v>60</v>
      </c>
      <c r="K442" s="556">
        <f t="shared" ca="1" si="194"/>
        <v>100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280</v>
      </c>
      <c r="J443" s="536">
        <f t="shared" si="196"/>
        <v>280</v>
      </c>
      <c r="K443" s="537">
        <f t="shared" ca="1" si="194"/>
        <v>100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555600</v>
      </c>
      <c r="M444" s="191">
        <f t="shared" ca="1" si="197"/>
        <v>555600</v>
      </c>
      <c r="N444" s="191">
        <f t="shared" si="197"/>
        <v>514366</v>
      </c>
      <c r="O444" s="191">
        <f t="shared" ref="O444:O449" ca="1" si="198">IF(L444&gt;0,N444*100/L444,0)</f>
        <v>92.578473722102231</v>
      </c>
      <c r="P444" s="191">
        <f t="shared" ref="P444:P449" ca="1" si="199">IF(M444&gt;0,N444*100/M444,0)</f>
        <v>92.578473722102231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555600</v>
      </c>
      <c r="M446" s="45">
        <f t="shared" ca="1" si="200"/>
        <v>555600</v>
      </c>
      <c r="N446" s="45">
        <f t="shared" si="200"/>
        <v>514366</v>
      </c>
      <c r="O446" s="45">
        <f t="shared" ca="1" si="198"/>
        <v>92.578473722102231</v>
      </c>
      <c r="P446" s="45">
        <f t="shared" ca="1" si="199"/>
        <v>92.578473722102231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555600</v>
      </c>
      <c r="M447" s="38">
        <f t="shared" ca="1" si="201"/>
        <v>555600</v>
      </c>
      <c r="N447" s="38">
        <f t="shared" si="201"/>
        <v>514366</v>
      </c>
      <c r="O447" s="38">
        <f t="shared" ca="1" si="198"/>
        <v>92.578473722102231</v>
      </c>
      <c r="P447" s="38">
        <f t="shared" ca="1" si="199"/>
        <v>92.578473722102231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IFERROR(__xludf.DUMMYFUNCTION("IMPORTRANGE(""https://docs.google.com/spreadsheets/d/1QqKyyYR6Q21VydFLVH3TRQUabQu_ym0Zz7PgGX0-kHA/edit?usp=sharing"",""แผน!FJ86"")"),555600)</f>
        <v>555600</v>
      </c>
      <c r="M449" s="45">
        <f ca="1">L449</f>
        <v>555600</v>
      </c>
      <c r="N449" s="45">
        <f>N450+N451+N452+N453</f>
        <v>514366</v>
      </c>
      <c r="O449" s="45">
        <f t="shared" ca="1" si="198"/>
        <v>92.578473722102231</v>
      </c>
      <c r="P449" s="45">
        <f t="shared" ca="1" si="199"/>
        <v>92.578473722102231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79200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281000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116146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38020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IFERROR(__xludf.DUMMYFUNCTION("IMPORTRANGE(""https://docs.google.com/spreadsheets/d/1QqKyyYR6Q21VydFLVH3TRQUabQu_ym0Zz7PgGX0-kHA/edit?usp=sharing"",""แผน!FM86"")"),0)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IFERROR(__xludf.DUMMYFUNCTION("IMPORTRANGE(""https://docs.google.com/spreadsheets/d/1QqKyyYR6Q21VydFLVH3TRQUabQu_ym0Zz7PgGX0-kHA/edit?usp=sharing"",""แผน!FN86"")"),60)</f>
        <v>60</v>
      </c>
      <c r="J460" s="181">
        <v>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IFERROR(__xludf.DUMMYFUNCTION("IMPORTRANGE(""https://docs.google.com/spreadsheets/d/1QqKyyYR6Q21VydFLVH3TRQUabQu_ym0Zz7PgGX0-kHA/edit?usp=sharing"",""แผน!FO86"")"),280)</f>
        <v>280</v>
      </c>
      <c r="J462" s="181">
        <v>280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IFERROR(__xludf.DUMMYFUNCTION("IMPORTRANGE(""https://docs.google.com/spreadsheets/d/1QqKyyYR6Q21VydFLVH3TRQUabQu_ym0Zz7PgGX0-kHA/edit?usp=sharing"",""แผน!FO86"")"),280)</f>
        <v>280</v>
      </c>
      <c r="J463" s="181">
        <v>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IFERROR(__xludf.DUMMYFUNCTION("IMPORTRANGE(""https://docs.google.com/spreadsheets/d/1QqKyyYR6Q21VydFLVH3TRQUabQu_ym0Zz7PgGX0-kHA/edit?usp=sharing"",""แผน!FN86"")"),60)</f>
        <v>60</v>
      </c>
      <c r="J464" s="181">
        <v>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IFERROR(__xludf.DUMMYFUNCTION("IMPORTRANGE(""https://docs.google.com/spreadsheets/d/1QqKyyYR6Q21VydFLVH3TRQUabQu_ym0Zz7PgGX0-kHA/edit?usp=sharing"",""แผน!FX86"")"),21)</f>
        <v>21</v>
      </c>
      <c r="J465" s="555">
        <f>J485+J489+J492</f>
        <v>21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IFERROR(__xludf.DUMMYFUNCTION("IMPORTRANGE(""https://docs.google.com/spreadsheets/d/1QqKyyYR6Q21VydFLVH3TRQUabQu_ym0Zz7PgGX0-kHA/edit?usp=sharing"",""แผน!FW86"")"),200)</f>
        <v>200</v>
      </c>
      <c r="J466" s="536">
        <f>J495+J498</f>
        <v>200</v>
      </c>
      <c r="K466" s="537">
        <f t="shared" ca="1" si="205"/>
        <v>100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189883</v>
      </c>
      <c r="M467" s="191">
        <f t="shared" ca="1" si="206"/>
        <v>189883</v>
      </c>
      <c r="N467" s="191">
        <f t="shared" si="206"/>
        <v>185773</v>
      </c>
      <c r="O467" s="191">
        <f t="shared" ref="O467:O472" ca="1" si="207">IF(L467&gt;0,N467*100/L467,0)</f>
        <v>97.83550923463396</v>
      </c>
      <c r="P467" s="191">
        <f t="shared" ref="P467:P472" ca="1" si="208">IF(M467&gt;0,N467*100/M467,0)</f>
        <v>97.83550923463396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189883</v>
      </c>
      <c r="M469" s="45">
        <f t="shared" ca="1" si="209"/>
        <v>189883</v>
      </c>
      <c r="N469" s="45">
        <f t="shared" si="209"/>
        <v>185773</v>
      </c>
      <c r="O469" s="45">
        <f t="shared" ca="1" si="207"/>
        <v>97.83550923463396</v>
      </c>
      <c r="P469" s="45">
        <f t="shared" ca="1" si="208"/>
        <v>97.83550923463396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189883</v>
      </c>
      <c r="M470" s="38">
        <f t="shared" ca="1" si="210"/>
        <v>189883</v>
      </c>
      <c r="N470" s="38">
        <f t="shared" si="210"/>
        <v>185773</v>
      </c>
      <c r="O470" s="38">
        <f t="shared" ca="1" si="207"/>
        <v>97.83550923463396</v>
      </c>
      <c r="P470" s="38">
        <f t="shared" ca="1" si="208"/>
        <v>97.83550923463396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IFERROR(__xludf.DUMMYFUNCTION("IMPORTRANGE(""https://docs.google.com/spreadsheets/d/1QqKyyYR6Q21VydFLVH3TRQUabQu_ym0Zz7PgGX0-kHA/edit?usp=sharing"",""แผน!FS86"")"),189883)</f>
        <v>189883</v>
      </c>
      <c r="M472" s="45">
        <f ca="1">L472</f>
        <v>189883</v>
      </c>
      <c r="N472" s="45">
        <f>N473+N474+N475+N476</f>
        <v>185773</v>
      </c>
      <c r="O472" s="45">
        <f t="shared" ca="1" si="207"/>
        <v>97.83550923463396</v>
      </c>
      <c r="P472" s="45">
        <f t="shared" ca="1" si="208"/>
        <v>97.83550923463396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41143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128000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16630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IFERROR(__xludf.DUMMYFUNCTION("IMPORTRANGE(""https://docs.google.com/spreadsheets/d/1QqKyyYR6Q21VydFLVH3TRQUabQu_ym0Zz7PgGX0-kHA/edit?usp=sharing"",""แผน!FV86"")"),0)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IFERROR(__xludf.DUMMYFUNCTION("IMPORTRANGE(""https://docs.google.com/spreadsheets/d/1QqKyyYR6Q21VydFLVH3TRQUabQu_ym0Zz7PgGX0-kHA/edit?usp=sharing"",""แผน!FY86"")"),180)</f>
        <v>180</v>
      </c>
      <c r="J483" s="181">
        <v>180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21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IFERROR(__xludf.DUMMYFUNCTION("IMPORTRANGE(""https://docs.google.com/spreadsheets/d/1QqKyyYR6Q21VydFLVH3TRQUabQu_ym0Zz7PgGX0-kHA/edit?usp=sharing"",""แผน!FZ86"")"),18)</f>
        <v>18</v>
      </c>
      <c r="J485" s="181">
        <v>18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IFERROR(__xludf.DUMMYFUNCTION("IMPORTRANGE(""https://docs.google.com/spreadsheets/d/1QqKyyYR6Q21VydFLVH3TRQUabQu_ym0Zz7PgGX0-kHA/edit?usp=sharing"",""แผน!GA86"")"),20)</f>
        <v>20</v>
      </c>
      <c r="J487" s="181">
        <v>20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2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IFERROR(__xludf.DUMMYFUNCTION("IMPORTRANGE(""https://docs.google.com/spreadsheets/d/1QqKyyYR6Q21VydFLVH3TRQUabQu_ym0Zz7PgGX0-kHA/edit?usp=sharing"",""แผน!GB86"")"),2)</f>
        <v>2</v>
      </c>
      <c r="J489" s="181">
        <v>2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IFERROR(__xludf.DUMMYFUNCTION("IMPORTRANGE(""https://docs.google.com/spreadsheets/d/1QqKyyYR6Q21VydFLVH3TRQUabQu_ym0Zz7PgGX0-kHA/edit?usp=sharing"",""แผน!GC86"")"),1)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IFERROR(__xludf.DUMMYFUNCTION("IMPORTRANGE(""https://docs.google.com/spreadsheets/d/1QqKyyYR6Q21VydFLVH3TRQUabQu_ym0Zz7PgGX0-kHA/edit?usp=sharing"",""แผน!FY86"")"),180)</f>
        <v>180</v>
      </c>
      <c r="J495" s="181">
        <v>180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180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IFERROR(__xludf.DUMMYFUNCTION("IMPORTRANGE(""https://docs.google.com/spreadsheets/d/1QqKyyYR6Q21VydFLVH3TRQUabQu_ym0Zz7PgGX0-kHA/edit?usp=sharing"",""แผน!GA86"")"),20)</f>
        <v>20</v>
      </c>
      <c r="J498" s="181">
        <v>20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20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30</v>
      </c>
      <c r="J522" s="630">
        <f t="shared" ca="1" si="225"/>
        <v>30</v>
      </c>
      <c r="K522" s="631">
        <f ca="1">IF(I522&gt;0,J522*100/I522,0)</f>
        <v>100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288960</v>
      </c>
      <c r="M523" s="191">
        <f t="shared" ca="1" si="226"/>
        <v>288960</v>
      </c>
      <c r="N523" s="191">
        <f t="shared" si="226"/>
        <v>126130</v>
      </c>
      <c r="O523" s="191">
        <f t="shared" ref="O523:O528" ca="1" si="227">IF(L523&gt;0,N523*100/L523,0)</f>
        <v>43.649640088593578</v>
      </c>
      <c r="P523" s="191">
        <f t="shared" ref="P523:P528" ca="1" si="228">IF(M523&gt;0,N523*100/M523,0)</f>
        <v>43.649640088593578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288960</v>
      </c>
      <c r="M525" s="45">
        <f t="shared" ca="1" si="229"/>
        <v>288960</v>
      </c>
      <c r="N525" s="45">
        <f t="shared" si="229"/>
        <v>126130</v>
      </c>
      <c r="O525" s="45">
        <f t="shared" ca="1" si="227"/>
        <v>43.649640088593578</v>
      </c>
      <c r="P525" s="45">
        <f t="shared" ca="1" si="228"/>
        <v>43.649640088593578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288960</v>
      </c>
      <c r="M526" s="38">
        <f t="shared" ca="1" si="230"/>
        <v>288960</v>
      </c>
      <c r="N526" s="38">
        <f t="shared" si="230"/>
        <v>126130</v>
      </c>
      <c r="O526" s="38">
        <f t="shared" ca="1" si="227"/>
        <v>43.649640088593578</v>
      </c>
      <c r="P526" s="38">
        <f t="shared" ca="1" si="228"/>
        <v>43.649640088593578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IFERROR(__xludf.DUMMYFUNCTION("IMPORTRANGE(""https://docs.google.com/spreadsheets/d/1QqKyyYR6Q21VydFLVH3TRQUabQu_ym0Zz7PgGX0-kHA/edit?usp=sharing"",""แผน!GQ86"")"),288960)</f>
        <v>288960</v>
      </c>
      <c r="M528" s="45">
        <f ca="1">L528</f>
        <v>288960</v>
      </c>
      <c r="N528" s="45">
        <f>N529+N530+N531+N532</f>
        <v>126130</v>
      </c>
      <c r="O528" s="45">
        <f t="shared" ca="1" si="227"/>
        <v>43.649640088593578</v>
      </c>
      <c r="P528" s="45">
        <f t="shared" ca="1" si="228"/>
        <v>43.649640088593578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106200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19930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IFERROR(__xludf.DUMMYFUNCTION("IMPORTRANGE(""https://docs.google.com/spreadsheets/d/1QqKyyYR6Q21VydFLVH3TRQUabQu_ym0Zz7PgGX0-kHA/edit?usp=sharing"",""แผน!GT86"")"),0)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IFERROR(__xludf.DUMMYFUNCTION("IMPORTRANGE(""https://docs.google.com/spreadsheets/d/1QqKyyYR6Q21VydFLVH3TRQUabQu_ym0Zz7PgGX0-kHA/edit?usp=sharing"",""แผน!GU86"")"),30)</f>
        <v>30</v>
      </c>
      <c r="J537" s="190">
        <f ca="1">IF(AND(J538=I538,J539=I539,J540=I540,J541=I541),I537,0)</f>
        <v>30</v>
      </c>
      <c r="K537" s="38">
        <f t="shared" ref="K537:K543" ca="1" si="234">IF(I537&gt;0,J537*100/I537,0)</f>
        <v>100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IFERROR(__xludf.DUMMYFUNCTION("IMPORTRANGE(""https://docs.google.com/spreadsheets/d/1QqKyyYR6Q21VydFLVH3TRQUabQu_ym0Zz7PgGX0-kHA/edit?usp=sharing"",""แผน!GV86"")"),30)</f>
        <v>30</v>
      </c>
      <c r="J538" s="181">
        <v>30</v>
      </c>
      <c r="K538" s="38">
        <f t="shared" ca="1" si="234"/>
        <v>100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IFERROR(__xludf.DUMMYFUNCTION("IMPORTRANGE(""https://docs.google.com/spreadsheets/d/1QqKyyYR6Q21VydFLVH3TRQUabQu_ym0Zz7PgGX0-kHA/edit?usp=sharing"",""แผน!GW86"")"),30)</f>
        <v>30</v>
      </c>
      <c r="J539" s="181">
        <v>30</v>
      </c>
      <c r="K539" s="38">
        <f t="shared" ca="1" si="234"/>
        <v>100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IFERROR(__xludf.DUMMYFUNCTION("IMPORTRANGE(""https://docs.google.com/spreadsheets/d/1QqKyyYR6Q21VydFLVH3TRQUabQu_ym0Zz7PgGX0-kHA/edit?usp=sharing"",""แผน!GX86"")"),30)</f>
        <v>30</v>
      </c>
      <c r="J540" s="181">
        <v>30</v>
      </c>
      <c r="K540" s="38">
        <f t="shared" ca="1" si="234"/>
        <v>100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IFERROR(__xludf.DUMMYFUNCTION("IMPORTRANGE(""https://docs.google.com/spreadsheets/d/1QqKyyYR6Q21VydFLVH3TRQUabQu_ym0Zz7PgGX0-kHA/edit?usp=sharing"",""แผน!GY86"")"),0)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IFERROR(__xludf.DUMMYFUNCTION("IMPORTRANGE(""https://docs.google.com/spreadsheets/d/1QqKyyYR6Q21VydFLVH3TRQUabQu_ym0Zz7PgGX0-kHA/edit?usp=sharing"",""แผน!GZ86"")"),30)</f>
        <v>30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32464</v>
      </c>
      <c r="J543" s="638">
        <f t="shared" si="235"/>
        <v>32465</v>
      </c>
      <c r="K543" s="639">
        <f t="shared" ca="1" si="234"/>
        <v>100.00308033514047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388395</v>
      </c>
      <c r="M544" s="154">
        <f t="shared" ca="1" si="236"/>
        <v>388395</v>
      </c>
      <c r="N544" s="154">
        <f t="shared" si="236"/>
        <v>899035.7</v>
      </c>
      <c r="O544" s="154">
        <f t="shared" ref="O544:O549" ca="1" si="237">IF(L544&gt;0,N544*100/L544,0)</f>
        <v>231.47458128966645</v>
      </c>
      <c r="P544" s="154">
        <f t="shared" ref="P544:P549" ca="1" si="238">IF(M544&gt;0,N544*100/M544,0)</f>
        <v>231.47458128966645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388395</v>
      </c>
      <c r="M546" s="45">
        <f t="shared" ca="1" si="240"/>
        <v>388395</v>
      </c>
      <c r="N546" s="45">
        <f t="shared" si="240"/>
        <v>899035.7</v>
      </c>
      <c r="O546" s="45">
        <f t="shared" ca="1" si="237"/>
        <v>231.47458128966645</v>
      </c>
      <c r="P546" s="45">
        <f t="shared" ca="1" si="238"/>
        <v>231.47458128966645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388395</v>
      </c>
      <c r="M547" s="38">
        <f t="shared" ca="1" si="241"/>
        <v>388395</v>
      </c>
      <c r="N547" s="38">
        <f t="shared" si="241"/>
        <v>899035.7</v>
      </c>
      <c r="O547" s="38">
        <f t="shared" ca="1" si="237"/>
        <v>231.47458128966645</v>
      </c>
      <c r="P547" s="38">
        <f t="shared" ca="1" si="238"/>
        <v>231.47458128966645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IFERROR(__xludf.DUMMYFUNCTION("IMPORTRANGE(""https://docs.google.com/spreadsheets/d/1QqKyyYR6Q21VydFLVH3TRQUabQu_ym0Zz7PgGX0-kHA/edit?usp=sharing"",""แผน!HB86"")"),388395)</f>
        <v>388395</v>
      </c>
      <c r="M549" s="45">
        <f ca="1">L549</f>
        <v>388395</v>
      </c>
      <c r="N549" s="45">
        <f>N550+N551+N552+N553+N554</f>
        <v>899035.7</v>
      </c>
      <c r="O549" s="45">
        <f t="shared" ca="1" si="237"/>
        <v>231.47458128966645</v>
      </c>
      <c r="P549" s="45">
        <f t="shared" ca="1" si="238"/>
        <v>231.47458128966645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117000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212587.7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569448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IFERROR(__xludf.DUMMYFUNCTION("IMPORTRANGE(""https://docs.google.com/spreadsheets/d/1QqKyyYR6Q21VydFLVH3TRQUabQu_ym0Zz7PgGX0-kHA/edit?usp=sharing"",""แผน!HF86"")"),0)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32464</v>
      </c>
      <c r="J559" s="630">
        <f t="shared" si="245"/>
        <v>32465</v>
      </c>
      <c r="K559" s="631">
        <f t="shared" ref="K559:K561" ca="1" si="246">IF(I559&gt;0,J559*100/I559,0)</f>
        <v>100.00308033514047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IFERROR(__xludf.DUMMYFUNCTION("IMPORTRANGE(""https://docs.google.com/spreadsheets/d/1QqKyyYR6Q21VydFLVH3TRQUabQu_ym0Zz7PgGX0-kHA/edit?usp=sharing"",""แผน!HH86"")"),32464)</f>
        <v>32464</v>
      </c>
      <c r="J560" s="189">
        <f t="shared" ref="J560:J561" si="247">J562+J564+J566</f>
        <v>32464.06</v>
      </c>
      <c r="K560" s="391">
        <f t="shared" ca="1" si="246"/>
        <v>100.00018482010843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IFERROR(__xludf.DUMMYFUNCTION("IMPORTRANGE(""https://docs.google.com/spreadsheets/d/1QqKyyYR6Q21VydFLVH3TRQUabQu_ym0Zz7PgGX0-kHA/edit?usp=sharing"",""แผน!HG86"")"),4075)</f>
        <v>4075</v>
      </c>
      <c r="J561" s="189">
        <f t="shared" si="247"/>
        <v>4075</v>
      </c>
      <c r="K561" s="391">
        <f t="shared" ca="1" si="246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29538.06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3715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2117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255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809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105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IFERROR(__xludf.DUMMYFUNCTION("IMPORTRANGE(""https://docs.google.com/spreadsheets/d/1QqKyyYR6Q21VydFLVH3TRQUabQu_ym0Zz7PgGX0-kHA/edit?usp=sharing"",""แผน!HH86"")"),32464)</f>
        <v>32464</v>
      </c>
      <c r="J568" s="190">
        <f t="shared" ref="J568:J569" si="248">J570+J572+J574</f>
        <v>32464</v>
      </c>
      <c r="K568" s="391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IFERROR(__xludf.DUMMYFUNCTION("IMPORTRANGE(""https://docs.google.com/spreadsheets/d/1QqKyyYR6Q21VydFLVH3TRQUabQu_ym0Zz7PgGX0-kHA/edit?usp=sharing"",""แผน!HG86"")"),4075)</f>
        <v>4075</v>
      </c>
      <c r="J569" s="190">
        <f t="shared" si="248"/>
        <v>4075</v>
      </c>
      <c r="K569" s="391">
        <f t="shared" ca="1" si="249"/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29664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3730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1977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240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823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105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IFERROR(__xludf.DUMMYFUNCTION("IMPORTRANGE(""https://docs.google.com/spreadsheets/d/1QqKyyYR6Q21VydFLVH3TRQUabQu_ym0Zz7PgGX0-kHA/edit?usp=sharing"",""แผน!HH86"")"),32464)</f>
        <v>32464</v>
      </c>
      <c r="J576" s="190">
        <f t="shared" ref="J576:J577" si="250">J578+J580+J582+J588+J590</f>
        <v>32465</v>
      </c>
      <c r="K576" s="391">
        <f t="shared" ref="K576:K577" ca="1" si="251">IF(I576&gt;0,J576*100/I576,0)</f>
        <v>100.00308033514047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IFERROR(__xludf.DUMMYFUNCTION("IMPORTRANGE(""https://docs.google.com/spreadsheets/d/1QqKyyYR6Q21VydFLVH3TRQUabQu_ym0Zz7PgGX0-kHA/edit?usp=sharing"",""แผน!HG86"")"),4075)</f>
        <v>4075</v>
      </c>
      <c r="J577" s="190">
        <f t="shared" si="250"/>
        <v>4075</v>
      </c>
      <c r="K577" s="391">
        <f t="shared" ca="1" si="251"/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30749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3861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18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3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864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104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864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104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834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107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414.26</v>
      </c>
      <c r="J592" s="630">
        <f t="shared" si="253"/>
        <v>414.26</v>
      </c>
      <c r="K592" s="631">
        <f t="shared" ref="K592:K594" ca="1" si="254">IF(I592&gt;0,J592*100/I592,0)</f>
        <v>100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IFERROR(__xludf.DUMMYFUNCTION("IMPORTRANGE(""https://docs.google.com/spreadsheets/d/1QqKyyYR6Q21VydFLVH3TRQUabQu_ym0Zz7PgGX0-kHA/edit?usp=sharing"",""แผน!HJ86"")"),414.26)</f>
        <v>414.26</v>
      </c>
      <c r="J593" s="189">
        <f t="shared" ref="J593:J594" si="255">J595+J603+J609</f>
        <v>414.26</v>
      </c>
      <c r="K593" s="391">
        <f t="shared" ca="1" si="254"/>
        <v>100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IFERROR(__xludf.DUMMYFUNCTION("IMPORTRANGE(""https://docs.google.com/spreadsheets/d/1QqKyyYR6Q21VydFLVH3TRQUabQu_ym0Zz7PgGX0-kHA/edit?usp=sharing"",""แผน!HI86"")"),47)</f>
        <v>47</v>
      </c>
      <c r="J594" s="189">
        <f t="shared" si="255"/>
        <v>47</v>
      </c>
      <c r="K594" s="391">
        <f t="shared" ca="1" si="254"/>
        <v>100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413.26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46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413.26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46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1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1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1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1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 hidden="1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 hidden="1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IFERROR(__xludf.DUMMYFUNCTION("IMPORTRANGE(""https://docs.google.com/spreadsheets/d/1QqKyyYR6Q21VydFLVH3TRQUabQu_ym0Zz7PgGX0-kHA/edit?usp=sharing"",""แผน!HL86"")"),140)</f>
        <v>140</v>
      </c>
      <c r="J620" s="675">
        <f t="shared" ref="J620:J621" si="260">J622+J624+J626</f>
        <v>0</v>
      </c>
      <c r="K620" s="676">
        <f t="shared" ref="K620:K621" ca="1" si="261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 hidden="1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IFERROR(__xludf.DUMMYFUNCTION("IMPORTRANGE(""https://docs.google.com/spreadsheets/d/1QqKyyYR6Q21VydFLVH3TRQUabQu_ym0Zz7PgGX0-kHA/edit?usp=sharing"",""แผน!HK86"")"),17)</f>
        <v>17</v>
      </c>
      <c r="J621" s="675">
        <f t="shared" si="260"/>
        <v>0</v>
      </c>
      <c r="K621" s="676">
        <f t="shared" ca="1" si="261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 hidden="1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 hidden="1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 hidden="1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 hidden="1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 hidden="1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 hidden="1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100</v>
      </c>
      <c r="J628" s="686">
        <f t="shared" ca="1" si="262"/>
        <v>58</v>
      </c>
      <c r="K628" s="687">
        <f ca="1">IF(I628&gt;0,J628*100/I628,0)</f>
        <v>58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368255</v>
      </c>
      <c r="M629" s="191">
        <f t="shared" ca="1" si="263"/>
        <v>368255</v>
      </c>
      <c r="N629" s="191">
        <f t="shared" si="263"/>
        <v>229046</v>
      </c>
      <c r="O629" s="191">
        <f t="shared" ref="O629:O634" ca="1" si="264">IF(L629&gt;0,N629*100/L629,0)</f>
        <v>62.197661946205756</v>
      </c>
      <c r="P629" s="191">
        <f t="shared" ref="P629:P634" ca="1" si="265">IF(M629&gt;0,N629*100/M629,0)</f>
        <v>62.197661946205756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368255</v>
      </c>
      <c r="M631" s="45">
        <f t="shared" ca="1" si="266"/>
        <v>368255</v>
      </c>
      <c r="N631" s="45">
        <f t="shared" si="266"/>
        <v>229046</v>
      </c>
      <c r="O631" s="45">
        <f t="shared" ca="1" si="264"/>
        <v>62.197661946205756</v>
      </c>
      <c r="P631" s="45">
        <f t="shared" ca="1" si="265"/>
        <v>62.197661946205756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368255</v>
      </c>
      <c r="M632" s="38">
        <f t="shared" ca="1" si="267"/>
        <v>368255</v>
      </c>
      <c r="N632" s="38">
        <f t="shared" si="267"/>
        <v>229046</v>
      </c>
      <c r="O632" s="38">
        <f t="shared" ca="1" si="264"/>
        <v>62.197661946205756</v>
      </c>
      <c r="P632" s="38">
        <f t="shared" ca="1" si="265"/>
        <v>62.197661946205756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IFERROR(__xludf.DUMMYFUNCTION("IMPORTRANGE(""https://docs.google.com/spreadsheets/d/1QqKyyYR6Q21VydFLVH3TRQUabQu_ym0Zz7PgGX0-kHA/edit?usp=sharing"",""แผน!HN86"")"),368255)</f>
        <v>368255</v>
      </c>
      <c r="M634" s="45">
        <f ca="1">L634</f>
        <v>368255</v>
      </c>
      <c r="N634" s="45">
        <f>N635+N636+N637+N638</f>
        <v>229046</v>
      </c>
      <c r="O634" s="45">
        <f t="shared" ca="1" si="264"/>
        <v>62.197661946205756</v>
      </c>
      <c r="P634" s="45">
        <f t="shared" ca="1" si="265"/>
        <v>62.197661946205756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116566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112480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IFERROR(__xludf.DUMMYFUNCTION("IMPORTRANGE(""https://docs.google.com/spreadsheets/d/1QqKyyYR6Q21VydFLVH3TRQUabQu_ym0Zz7PgGX0-kHA/edit?usp=sharing"",""แผน!HQ86"")"),0)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IFERROR(__xludf.DUMMYFUNCTION("IMPORTRANGE(""https://docs.google.com/spreadsheets/d/1QqKyyYR6Q21VydFLVH3TRQUabQu_ym0Zz7PgGX0-kHA/edit?usp=sharing"",""แผน!HR86"")"),0)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IFERROR(__xludf.DUMMYFUNCTION("IMPORTRANGE(""https://docs.google.com/spreadsheets/d/1QqKyyYR6Q21VydFLVH3TRQUabQu_ym0Zz7PgGX0-kHA/edit?usp=sharing"",""แผน!HR86"")"),0)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IFERROR(__xludf.DUMMYFUNCTION("IMPORTRANGE(""https://docs.google.com/spreadsheets/d/1XWAQStnk-4SwqDmLtmXYiTMKHgktTP8We1SCoS47DrQ/edit?usp=sharing"",""จัดที่ดิน!AS86"")"),0)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IFERROR(__xludf.DUMMYFUNCTION("IMPORTRANGE(""https://docs.google.com/spreadsheets/d/1XWAQStnk-4SwqDmLtmXYiTMKHgktTP8We1SCoS47DrQ/edit?usp=sharing"",""จัดที่ดิน!AT86"")"),0)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IFERROR(__xludf.DUMMYFUNCTION("IMPORTRANGE(""https://docs.google.com/spreadsheets/d/1QqKyyYR6Q21VydFLVH3TRQUabQu_ym0Zz7PgGX0-kHA/edit?usp=sharing"",""แผน!HS86"")"),100)</f>
        <v>100</v>
      </c>
      <c r="J647" s="37">
        <f ca="1">IFERROR(__xludf.DUMMYFUNCTION("IMPORTRANGE(""https://docs.google.com/spreadsheets/d/1XWAQStnk-4SwqDmLtmXYiTMKHgktTP8We1SCoS47DrQ/edit?usp=sharing"",""จัดที่ดิน!AU86"")"),104)</f>
        <v>104</v>
      </c>
      <c r="K647" s="162">
        <f t="shared" ca="1" si="271"/>
        <v>104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IFERROR(__xludf.DUMMYFUNCTION("IMPORTRANGE(""https://docs.google.com/spreadsheets/d/1XWAQStnk-4SwqDmLtmXYiTMKHgktTP8We1SCoS47DrQ/edit?usp=sharing"",""จัดที่ดิน!AV86"")"),28.26)</f>
        <v>28.26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IFERROR(__xludf.DUMMYFUNCTION("IMPORTRANGE(""https://docs.google.com/spreadsheets/d/1QqKyyYR6Q21VydFLVH3TRQUabQu_ym0Zz7PgGX0-kHA/edit?usp=sharing"",""แผน!HS86"")"),100)</f>
        <v>100</v>
      </c>
      <c r="J649" s="37">
        <f ca="1">IFERROR(__xludf.DUMMYFUNCTION("IMPORTRANGE(""https://docs.google.com/spreadsheets/d/1XWAQStnk-4SwqDmLtmXYiTMKHgktTP8We1SCoS47DrQ/edit?usp=sharing"",""จัดที่ดิน!AW86"")"),59)</f>
        <v>59</v>
      </c>
      <c r="K649" s="162">
        <f t="shared" ca="1" si="271"/>
        <v>59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IFERROR(__xludf.DUMMYFUNCTION("IMPORTRANGE(""https://docs.google.com/spreadsheets/d/1XWAQStnk-4SwqDmLtmXYiTMKHgktTP8We1SCoS47DrQ/edit?usp=sharing"",""จัดที่ดิน!AX86"")"),15.1)</f>
        <v>15.1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IFERROR(__xludf.DUMMYFUNCTION("IMPORTRANGE(""https://docs.google.com/spreadsheets/d/1QqKyyYR6Q21VydFLVH3TRQUabQu_ym0Zz7PgGX0-kHA/edit?usp=sharing"",""แผน!HS86"")"),100)</f>
        <v>100</v>
      </c>
      <c r="J651" s="37">
        <f ca="1">IFERROR(__xludf.DUMMYFUNCTION("IMPORTRANGE(""https://docs.google.com/spreadsheets/d/1XWAQStnk-4SwqDmLtmXYiTMKHgktTP8We1SCoS47DrQ/edit?usp=sharing"",""จัดที่ดิน!AY86"")"),58)</f>
        <v>58</v>
      </c>
      <c r="K651" s="162">
        <f t="shared" ca="1" si="271"/>
        <v>58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IFERROR(__xludf.DUMMYFUNCTION("IMPORTRANGE(""https://docs.google.com/spreadsheets/d/1XWAQStnk-4SwqDmLtmXYiTMKHgktTP8We1SCoS47DrQ/edit?usp=sharing"",""จัดที่ดิน!AZ86"")"),15)</f>
        <v>15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50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12600</v>
      </c>
      <c r="M655" s="191">
        <f t="shared" ca="1" si="273"/>
        <v>12600</v>
      </c>
      <c r="N655" s="191">
        <f t="shared" si="273"/>
        <v>8141</v>
      </c>
      <c r="O655" s="191">
        <f t="shared" ref="O655:O660" ca="1" si="274">IF(L655&gt;0,N655*100/L655,0)</f>
        <v>64.611111111111114</v>
      </c>
      <c r="P655" s="191">
        <f t="shared" ref="P655:P660" ca="1" si="275">IF(M655&gt;0,N655*100/M655,0)</f>
        <v>64.611111111111114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12600</v>
      </c>
      <c r="M657" s="45">
        <f t="shared" ca="1" si="276"/>
        <v>12600</v>
      </c>
      <c r="N657" s="45">
        <f t="shared" si="276"/>
        <v>8141</v>
      </c>
      <c r="O657" s="45">
        <f t="shared" ca="1" si="274"/>
        <v>64.611111111111114</v>
      </c>
      <c r="P657" s="45">
        <f t="shared" ca="1" si="275"/>
        <v>64.611111111111114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12600</v>
      </c>
      <c r="M658" s="38">
        <f t="shared" ca="1" si="277"/>
        <v>12600</v>
      </c>
      <c r="N658" s="38">
        <f t="shared" si="277"/>
        <v>8141</v>
      </c>
      <c r="O658" s="38">
        <f t="shared" ca="1" si="274"/>
        <v>64.611111111111114</v>
      </c>
      <c r="P658" s="38">
        <f t="shared" ca="1" si="275"/>
        <v>64.611111111111114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IFERROR(__xludf.DUMMYFUNCTION("IMPORTRANGE(""https://docs.google.com/spreadsheets/d/1QqKyyYR6Q21VydFLVH3TRQUabQu_ym0Zz7PgGX0-kHA/edit?usp=sharing"",""แผน!HV86"")"),12600)</f>
        <v>12600</v>
      </c>
      <c r="M660" s="45">
        <f ca="1">L660</f>
        <v>12600</v>
      </c>
      <c r="N660" s="45">
        <f>N661+N662+N663+N664</f>
        <v>8141</v>
      </c>
      <c r="O660" s="45">
        <f t="shared" ca="1" si="274"/>
        <v>64.611111111111114</v>
      </c>
      <c r="P660" s="45">
        <f t="shared" ca="1" si="275"/>
        <v>64.611111111111114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8141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IFERROR(__xludf.DUMMYFUNCTION("IMPORTRANGE(""https://docs.google.com/spreadsheets/d/1QqKyyYR6Q21VydFLVH3TRQUabQu_ym0Zz7PgGX0-kHA/edit?usp=sharing"",""แผน!IA86"")"),50)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IFERROR(__xludf.DUMMYFUNCTION("IMPORTRANGE(""https://docs.google.com/spreadsheets/d/1QqKyyYR6Q21VydFLVH3TRQUabQu_ym0Zz7PgGX0-kHA/edit?usp=sharing"",""แผน!HZ86"")"),6)</f>
        <v>6</v>
      </c>
      <c r="J670" s="181">
        <v>6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IFERROR(__xludf.DUMMYFUNCTION("IMPORTRANGE(""https://docs.google.com/spreadsheets/d/1QqKyyYR6Q21VydFLVH3TRQUabQu_ym0Zz7PgGX0-kHA/edit?usp=sharing"",""แผน!HZ86"")"),6)</f>
        <v>6</v>
      </c>
      <c r="J671" s="181">
        <v>6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IFERROR(__xludf.DUMMYFUNCTION("IMPORTRANGE(""https://docs.google.com/spreadsheets/d/1QqKyyYR6Q21VydFLVH3TRQUabQu_ym0Zz7PgGX0-kHA/edit?usp=sharing"",""แผน!IB86"")"),0)</f>
        <v>0</v>
      </c>
      <c r="J678" s="190">
        <f>J679</f>
        <v>168.76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168.76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835">
        <v>31.56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835">
        <v>137.19999999999999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 hidden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 hidden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 hidden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IFERROR(__xludf.DUMMYFUNCTION("IMPORTRANGE(""https://docs.google.com/spreadsheets/d/1QqKyyYR6Q21VydFLVH3TRQUabQu_ym0Zz7PgGX0-kHA/edit?usp=sharing"",""แผน!HW86"")"),0)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 hidden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 hidden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 hidden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 hidden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 hidden="1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 hidden="1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 hidden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IFERROR(__xludf.DUMMYFUNCTION("IMPORTRANGE(""https://docs.google.com/spreadsheets/d/1QqKyyYR6Q21VydFLVH3TRQUabQu_ym0Zz7PgGX0-kHA/edit?usp=sharing"",""แผน!IC86"")"),0)</f>
        <v>0</v>
      </c>
      <c r="J699" s="37">
        <f ca="1">IFERROR(__xludf.DUMMYFUNCTION("IMPORTRANGE(""https://docs.google.com/spreadsheets/d/1XWAQStnk-4SwqDmLtmXYiTMKHgktTP8We1SCoS47DrQ/edit?usp=sharing"",""จัดที่ดิน!BB86"")"),0)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 hidden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IFERROR(__xludf.DUMMYFUNCTION("IMPORTRANGE(""https://docs.google.com/spreadsheets/d/1QqKyyYR6Q21VydFLVH3TRQUabQu_ym0Zz7PgGX0-kHA/edit?usp=sharing"",""แผน!ID86"")"),0)</f>
        <v>0</v>
      </c>
      <c r="J700" s="37">
        <f ca="1">IFERROR(__xludf.DUMMYFUNCTION("IMPORTRANGE(""https://docs.google.com/spreadsheets/d/1XWAQStnk-4SwqDmLtmXYiTMKHgktTP8We1SCoS47DrQ/edit?usp=sharing"",""จัดที่ดิน!BD86"")"),0)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 hidden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IFERROR(__xludf.DUMMYFUNCTION("IMPORTRANGE(""https://docs.google.com/spreadsheets/d/1QqKyyYR6Q21VydFLVH3TRQUabQu_ym0Zz7PgGX0-kHA/edit?usp=sharing"",""แผน!IE86"")"),0)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 hidden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 hidden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 hidden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IFERROR(__xludf.DUMMYFUNCTION("IMPORTRANGE(""https://docs.google.com/spreadsheets/d/1QqKyyYR6Q21VydFLVH3TRQUabQu_ym0Zz7PgGX0-kHA/edit?usp=sharing"",""แผน!IF86"")"),0)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 hidden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 hidden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 hidden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IFERROR(__xludf.DUMMYFUNCTION("IMPORTRANGE(""https://docs.google.com/spreadsheets/d/1QqKyyYR6Q21VydFLVH3TRQUabQu_ym0Zz7PgGX0-kHA/edit?usp=sharing"",""แผน!IG86"")"),0)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 hidden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IFERROR(__xludf.DUMMYFUNCTION("IMPORTRANGE(""https://docs.google.com/spreadsheets/d/1QqKyyYR6Q21VydFLVH3TRQUabQu_ym0Zz7PgGX0-kHA/edit?usp=sharing"",""แผน!IH86"")"),0)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 hidden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 hidden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 hidden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 hidden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 hidden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 hidden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 hidden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 hidden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 hidden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 hidden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IFERROR(__xludf.DUMMYFUNCTION("IMPORTRANGE(""https://docs.google.com/spreadsheets/d/1XWAQStnk-4SwqDmLtmXYiTMKHgktTP8We1SCoS47DrQ/edit?usp=sharing"",""จัดที่ดิน!BF86"")"),0)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 hidden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IFERROR(__xludf.DUMMYFUNCTION("IMPORTRANGE(""https://docs.google.com/spreadsheets/d/1XWAQStnk-4SwqDmLtmXYiTMKHgktTP8We1SCoS47DrQ/edit?usp=sharing"",""จัดที่ดิน!BG86"")"),0)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 hidden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IFERROR(__xludf.DUMMYFUNCTION("IMPORTRANGE(""https://docs.google.com/spreadsheets/d/1QqKyyYR6Q21VydFLVH3TRQUabQu_ym0Zz7PgGX0-kHA/edit?usp=sharing"",""แผน!II86"")"),0)</f>
        <v>0</v>
      </c>
      <c r="J720" s="37">
        <f ca="1">IFERROR(__xludf.DUMMYFUNCTION("IMPORTRANGE(""https://docs.google.com/spreadsheets/d/1XWAQStnk-4SwqDmLtmXYiTMKHgktTP8We1SCoS47DrQ/edit?usp=sharing"",""จัดที่ดิน!BH86"")"),0)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 hidden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IFERROR(__xludf.DUMMYFUNCTION("IMPORTRANGE(""https://docs.google.com/spreadsheets/d/1QqKyyYR6Q21VydFLVH3TRQUabQu_ym0Zz7PgGX0-kHA/edit?usp=sharing"",""แผน!IJ86"")"),0)</f>
        <v>0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 hidden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IFERROR(__xludf.DUMMYFUNCTION("IMPORTRANGE(""https://docs.google.com/spreadsheets/d/1QqKyyYR6Q21VydFLVH3TRQUabQu_ym0Zz7PgGX0-kHA/edit?usp=sharing"",""แผน!IK86"")"),0)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 hidden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IFERROR(__xludf.DUMMYFUNCTION("IMPORTRANGE(""https://docs.google.com/spreadsheets/d/1QqKyyYR6Q21VydFLVH3TRQUabQu_ym0Zz7PgGX0-kHA/edit?usp=sharing"",""แผน!IL86"")"),0)</f>
        <v>0</v>
      </c>
      <c r="J723" s="37">
        <f ca="1">IFERROR(__xludf.DUMMYFUNCTION("IMPORTRANGE(""https://docs.google.com/spreadsheets/d/1XWAQStnk-4SwqDmLtmXYiTMKHgktTP8We1SCoS47DrQ/edit?usp=sharing"",""จัดที่ดิน!BM86"")"),0)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 hidden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IFERROR(__xludf.DUMMYFUNCTION("IMPORTRANGE(""https://docs.google.com/spreadsheets/d/1XWAQStnk-4SwqDmLtmXYiTMKHgktTP8We1SCoS47DrQ/edit?usp=sharing"",""จัดที่ดิน!BN86"")"),0)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 hidden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IFERROR(__xludf.DUMMYFUNCTION("IMPORTRANGE(""https://docs.google.com/spreadsheets/d/1QqKyyYR6Q21VydFLVH3TRQUabQu_ym0Zz7PgGX0-kHA/edit?usp=sharing"",""แผน!IM86"")"),0)</f>
        <v>0</v>
      </c>
      <c r="J725" s="37">
        <f ca="1">IFERROR(__xludf.DUMMYFUNCTION("IMPORTRANGE(""https://docs.google.com/spreadsheets/d/1XWAQStnk-4SwqDmLtmXYiTMKHgktTP8We1SCoS47DrQ/edit?usp=sharing"",""จัดที่ดิน!BO86"")"),0)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 hidden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IFERROR(__xludf.DUMMYFUNCTION("IMPORTRANGE(""https://docs.google.com/spreadsheets/d/1QqKyyYR6Q21VydFLVH3TRQUabQu_ym0Zz7PgGX0-kHA/edit?usp=sharing"",""แผน!IN86"")"),0)</f>
        <v>0</v>
      </c>
      <c r="J726" s="37">
        <f ca="1">IFERROR(__xludf.DUMMYFUNCTION("IMPORTRANGE(""https://docs.google.com/spreadsheets/d/1XWAQStnk-4SwqDmLtmXYiTMKHgktTP8We1SCoS47DrQ/edit?usp=sharing"",""จัดที่ดิน!BR86"")"),0)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 hidden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IFERROR(__xludf.DUMMYFUNCTION("IMPORTRANGE(""https://docs.google.com/spreadsheets/d/1XWAQStnk-4SwqDmLtmXYiTMKHgktTP8We1SCoS47DrQ/edit?usp=sharing"",""จัดที่ดิน!BS86"")"),0)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 hidden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IFERROR(__xludf.DUMMYFUNCTION("IMPORTRANGE(""https://docs.google.com/spreadsheets/d/1QqKyyYR6Q21VydFLVH3TRQUabQu_ym0Zz7PgGX0-kHA/edit?usp=sharing"",""แผน!IO86"")"),0)</f>
        <v>0</v>
      </c>
      <c r="J728" s="37">
        <f ca="1">IFERROR(__xludf.DUMMYFUNCTION("IMPORTRANGE(""https://docs.google.com/spreadsheets/d/1XWAQStnk-4SwqDmLtmXYiTMKHgktTP8We1SCoS47DrQ/edit?usp=sharing"",""จัดที่ดิน!BT86"")"),0)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 hidden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IFERROR(__xludf.DUMMYFUNCTION("IMPORTRANGE(""https://docs.google.com/spreadsheets/d/1QqKyyYR6Q21VydFLVH3TRQUabQu_ym0Zz7PgGX0-kHA/edit?usp=sharing"",""แผน!IP86"")"),0)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 hidden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 hidden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 hidden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 hidden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 hidden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 hidden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IFERROR(__xludf.DUMMYFUNCTION("IMPORTRANGE(""https://docs.google.com/spreadsheets/d/1QqKyyYR6Q21VydFLVH3TRQUabQu_ym0Zz7PgGX0-kHA/edit?usp=sharing"",""แผน!JJ86"")"),0)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IFERROR(__xludf.DUMMYFUNCTION("IMPORTRANGE(""https://docs.google.com/spreadsheets/d/1QqKyyYR6Q21VydFLVH3TRQUabQu_ym0Zz7PgGX0-kHA/edit?usp=sharing"",""แผน!JN86"")"),0)</f>
        <v>0</v>
      </c>
      <c r="J800" s="161">
        <f ca="1">IFERROR(__xludf.DUMMYFUNCTION("IMPORTRANGE(""https://docs.google.com/spreadsheets/d/1MaWodYyGHDf7siQLGxnXhG4mBNTNIuy296niS2xXulU/edit?usp=sharing"",""RTK!H86"")"),0)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IFERROR(__xludf.DUMMYFUNCTION("IMPORTRANGE(""https://docs.google.com/spreadsheets/d/1MaWodYyGHDf7siQLGxnXhG4mBNTNIuy296niS2xXulU/edit?usp=sharing"",""RTK!I86"")"),0)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345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IFERROR(__xludf.DUMMYFUNCTION("IMPORTRANGE(""https://docs.google.com/spreadsheets/d/19vJNZY_5yjcGF2XGBMNZRCAIB0Kwfpjp8YEOfu-bneM/edit?usp=sharing"",""งานกองทุน!D86"")"),3740270.43)</f>
        <v>3740270.43</v>
      </c>
      <c r="J821" s="37">
        <f ca="1">IFERROR(__xludf.DUMMYFUNCTION("IMPORTRANGE(""https://docs.google.com/spreadsheets/d/19vJNZY_5yjcGF2XGBMNZRCAIB0Kwfpjp8YEOfu-bneM/edit?usp=sharing"",""งานกองทุน!F86"")"),3036074.88)</f>
        <v>3036074.88</v>
      </c>
      <c r="K821" s="38">
        <f t="shared" ref="K821:K828" ca="1" si="335">IF(I821&gt;0,J821*100/I821,0)</f>
        <v>81.172603340341894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IFERROR(__xludf.DUMMYFUNCTION("IMPORTRANGE(""https://docs.google.com/spreadsheets/d/19vJNZY_5yjcGF2XGBMNZRCAIB0Kwfpjp8YEOfu-bneM/edit?usp=sharing"",""งานกองทุน!C86"")"),269)</f>
        <v>269</v>
      </c>
      <c r="J822" s="37">
        <f ca="1">IFERROR(__xludf.DUMMYFUNCTION("IMPORTRANGE(""https://docs.google.com/spreadsheets/d/19vJNZY_5yjcGF2XGBMNZRCAIB0Kwfpjp8YEOfu-bneM/edit?usp=sharing"",""งานกองทุน!E86"")"),255)</f>
        <v>255</v>
      </c>
      <c r="K822" s="38">
        <f t="shared" ca="1" si="335"/>
        <v>94.795539033457246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37">
        <f ca="1">IFERROR(__xludf.DUMMYFUNCTION("IMPORTRANGE(""https://docs.google.com/spreadsheets/d/19vJNZY_5yjcGF2XGBMNZRCAIB0Kwfpjp8YEOfu-bneM/edit?usp=sharing"",""งานกองทุน!K86"")"),301381.15)</f>
        <v>301381.15000000002</v>
      </c>
      <c r="K823" s="38">
        <f t="shared" ca="1" si="335"/>
        <v>17.861177599693875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IFERROR(__xludf.DUMMYFUNCTION("IMPORTRANGE(""https://docs.google.com/spreadsheets/d/19vJNZY_5yjcGF2XGBMNZRCAIB0Kwfpjp8YEOfu-bneM/edit?usp=sharing"",""งานกองทุน!H86"")"),68)</f>
        <v>68</v>
      </c>
      <c r="J824" s="37">
        <f ca="1">IFERROR(__xludf.DUMMYFUNCTION("IMPORTRANGE(""https://docs.google.com/spreadsheets/d/19vJNZY_5yjcGF2XGBMNZRCAIB0Kwfpjp8YEOfu-bneM/edit?usp=sharing"",""งานกองทุน!J86"")"),57)</f>
        <v>57</v>
      </c>
      <c r="K824" s="38">
        <f t="shared" ca="1" si="335"/>
        <v>83.82352941176471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IFERROR(__xludf.DUMMYFUNCTION("IMPORTRANGE(""https://docs.google.com/spreadsheets/d/19vJNZY_5yjcGF2XGBMNZRCAIB0Kwfpjp8YEOfu-bneM/edit?usp=sharing"",""งานกองทุน!N86"")"),0)</f>
        <v>0</v>
      </c>
      <c r="J825" s="37">
        <f ca="1">IFERROR(__xludf.DUMMYFUNCTION("IMPORTRANGE(""https://docs.google.com/spreadsheets/d/19vJNZY_5yjcGF2XGBMNZRCAIB0Kwfpjp8YEOfu-bneM/edit?usp=sharing"",""งานกองทุน!P86"")"),0)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IFERROR(__xludf.DUMMYFUNCTION("IMPORTRANGE(""https://docs.google.com/spreadsheets/d/19vJNZY_5yjcGF2XGBMNZRCAIB0Kwfpjp8YEOfu-bneM/edit?usp=sharing"",""งานกองทุน!M86"")"),0)</f>
        <v>0</v>
      </c>
      <c r="J826" s="37">
        <f ca="1">IFERROR(__xludf.DUMMYFUNCTION("IMPORTRANGE(""https://docs.google.com/spreadsheets/d/19vJNZY_5yjcGF2XGBMNZRCAIB0Kwfpjp8YEOfu-bneM/edit?usp=sharing"",""งานกองทุน!O86"")"),0)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IFERROR(__xludf.DUMMYFUNCTION("IMPORTRANGE(""https://docs.google.com/spreadsheets/d/19vJNZY_5yjcGF2XGBMNZRCAIB0Kwfpjp8YEOfu-bneM/edit?usp=sharing"",""งานกองทุน!S86"")"),1680000)</f>
        <v>1680000</v>
      </c>
      <c r="J827" s="37">
        <f ca="1">IFERROR(__xludf.DUMMYFUNCTION("IMPORTRANGE(""https://docs.google.com/spreadsheets/d/19vJNZY_5yjcGF2XGBMNZRCAIB0Kwfpjp8YEOfu-bneM/edit?usp=sharing"",""งานกองทุน!U86"")"),2240000)</f>
        <v>2240000</v>
      </c>
      <c r="K827" s="38">
        <f t="shared" ca="1" si="335"/>
        <v>133.33333333333334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IFERROR(__xludf.DUMMYFUNCTION("IMPORTRANGE(""https://docs.google.com/spreadsheets/d/19vJNZY_5yjcGF2XGBMNZRCAIB0Kwfpjp8YEOfu-bneM/edit?usp=sharing"",""งานกองทุน!R86"")"),67)</f>
        <v>67</v>
      </c>
      <c r="J828" s="365">
        <f ca="1">IFERROR(__xludf.DUMMYFUNCTION("IMPORTRANGE(""https://docs.google.com/spreadsheets/d/19vJNZY_5yjcGF2XGBMNZRCAIB0Kwfpjp8YEOfu-bneM/edit?usp=sharing"",""งานกองทุน!T86"")"),46)</f>
        <v>46</v>
      </c>
      <c r="K828" s="475">
        <f t="shared" ca="1" si="335"/>
        <v>68.656716417910445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EBE36-CDAB-45C6-9793-9B601964F27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3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352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2316276</v>
      </c>
      <c r="M8" s="22">
        <f t="shared" ca="1" si="0"/>
        <v>2637866</v>
      </c>
      <c r="N8" s="22">
        <f t="shared" ca="1" si="0"/>
        <v>2003855.9</v>
      </c>
      <c r="O8" s="22">
        <f t="shared" ref="O8:O16" ca="1" si="1">IF(L8&gt;0,N8*100/L8,0)</f>
        <v>86.511965758830115</v>
      </c>
      <c r="P8" s="22">
        <f t="shared" ref="P8:P16" ca="1" si="2">IF(M8&gt;0,N8*100/M8,0)</f>
        <v>75.965037647856263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2316276</v>
      </c>
      <c r="M10" s="30">
        <f t="shared" ca="1" si="3"/>
        <v>2637866</v>
      </c>
      <c r="N10" s="30">
        <f t="shared" ca="1" si="3"/>
        <v>2003855.9</v>
      </c>
      <c r="O10" s="30">
        <f t="shared" ca="1" si="1"/>
        <v>86.511965758830115</v>
      </c>
      <c r="P10" s="30">
        <f t="shared" ca="1" si="2"/>
        <v>75.965037647856263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2240276</v>
      </c>
      <c r="M11" s="38">
        <f t="shared" ca="1" si="4"/>
        <v>2526366</v>
      </c>
      <c r="N11" s="38">
        <f t="shared" ca="1" si="4"/>
        <v>1927855.9</v>
      </c>
      <c r="O11" s="38">
        <f t="shared" ca="1" si="1"/>
        <v>86.054392405221506</v>
      </c>
      <c r="P11" s="38">
        <f t="shared" ca="1" si="2"/>
        <v>76.309446058092931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2240276</v>
      </c>
      <c r="M13" s="45">
        <f t="shared" ca="1" si="5"/>
        <v>2526366</v>
      </c>
      <c r="N13" s="45">
        <f t="shared" ca="1" si="5"/>
        <v>1927855.9</v>
      </c>
      <c r="O13" s="45">
        <f t="shared" ca="1" si="1"/>
        <v>86.054392405221506</v>
      </c>
      <c r="P13" s="45">
        <f t="shared" ca="1" si="2"/>
        <v>76.309446058092931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76000</v>
      </c>
      <c r="M14" s="38">
        <f t="shared" ca="1" si="6"/>
        <v>111500</v>
      </c>
      <c r="N14" s="38">
        <f t="shared" ca="1" si="6"/>
        <v>76000</v>
      </c>
      <c r="O14" s="38">
        <f t="shared" ca="1" si="1"/>
        <v>100</v>
      </c>
      <c r="P14" s="38">
        <f t="shared" ca="1" si="2"/>
        <v>68.16143497757848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111500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68.16143497757848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2190780</v>
      </c>
      <c r="N18" s="22">
        <f t="shared" ca="1" si="8"/>
        <v>1614379.5999999999</v>
      </c>
      <c r="O18" s="22">
        <f t="shared" ref="O18:O26" ca="1" si="9">IF(L18&gt;0,N18*100/L18,0)</f>
        <v>86.367870574954921</v>
      </c>
      <c r="P18" s="22">
        <f t="shared" ref="P18:P26" ca="1" si="10">IF(M18&gt;0,N18*100/M18,0)</f>
        <v>73.689717817398375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2190780</v>
      </c>
      <c r="N20" s="30">
        <f t="shared" ca="1" si="11"/>
        <v>1614379.5999999999</v>
      </c>
      <c r="O20" s="30">
        <f t="shared" ca="1" si="9"/>
        <v>86.367870574954921</v>
      </c>
      <c r="P20" s="30">
        <f t="shared" ca="1" si="10"/>
        <v>73.689717817398375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1793190</v>
      </c>
      <c r="M21" s="38">
        <f t="shared" ca="1" si="12"/>
        <v>2079280</v>
      </c>
      <c r="N21" s="38">
        <f t="shared" ca="1" si="12"/>
        <v>1538379.5999999999</v>
      </c>
      <c r="O21" s="38">
        <f t="shared" ca="1" si="9"/>
        <v>85.790105900657494</v>
      </c>
      <c r="P21" s="38">
        <f t="shared" ca="1" si="10"/>
        <v>73.986168289023126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1793190</v>
      </c>
      <c r="M23" s="45">
        <f t="shared" ca="1" si="13"/>
        <v>2079280</v>
      </c>
      <c r="N23" s="45">
        <f t="shared" ca="1" si="13"/>
        <v>1538379.5999999999</v>
      </c>
      <c r="O23" s="45">
        <f t="shared" ca="1" si="9"/>
        <v>85.790105900657494</v>
      </c>
      <c r="P23" s="45">
        <f t="shared" ca="1" si="10"/>
        <v>73.986168289023126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76000</v>
      </c>
      <c r="M24" s="38">
        <f t="shared" ca="1" si="14"/>
        <v>111500</v>
      </c>
      <c r="N24" s="38">
        <f t="shared" ca="1" si="14"/>
        <v>76000</v>
      </c>
      <c r="O24" s="38">
        <f t="shared" ca="1" si="9"/>
        <v>100</v>
      </c>
      <c r="P24" s="38">
        <f t="shared" ca="1" si="10"/>
        <v>68.16143497757848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111500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68.16143497757848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447086</v>
      </c>
      <c r="M28" s="22">
        <f t="shared" ca="1" si="16"/>
        <v>447086</v>
      </c>
      <c r="N28" s="22">
        <f t="shared" si="16"/>
        <v>389476.3</v>
      </c>
      <c r="O28" s="22">
        <f t="shared" ref="O28:O37" ca="1" si="17">IF(L28&gt;0,N28*100/L28,0)</f>
        <v>87.114403045499074</v>
      </c>
      <c r="P28" s="22">
        <f t="shared" ref="P28:P37" ca="1" si="18">IF(M28&gt;0,N28*100/M28,0)</f>
        <v>87.114403045499074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447086</v>
      </c>
      <c r="M30" s="30">
        <f t="shared" ca="1" si="19"/>
        <v>447086</v>
      </c>
      <c r="N30" s="30">
        <f t="shared" si="19"/>
        <v>389476.3</v>
      </c>
      <c r="O30" s="30">
        <f t="shared" ca="1" si="17"/>
        <v>87.114403045499074</v>
      </c>
      <c r="P30" s="30">
        <f t="shared" ca="1" si="18"/>
        <v>87.114403045499074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447086</v>
      </c>
      <c r="M31" s="38">
        <f t="shared" ca="1" si="20"/>
        <v>447086</v>
      </c>
      <c r="N31" s="38">
        <f t="shared" si="20"/>
        <v>389476.3</v>
      </c>
      <c r="O31" s="38">
        <f t="shared" ca="1" si="17"/>
        <v>87.114403045499074</v>
      </c>
      <c r="P31" s="38">
        <f t="shared" ca="1" si="18"/>
        <v>87.114403045499074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447086</v>
      </c>
      <c r="M33" s="45">
        <f t="shared" ca="1" si="21"/>
        <v>447086</v>
      </c>
      <c r="N33" s="45">
        <f t="shared" si="21"/>
        <v>389476.3</v>
      </c>
      <c r="O33" s="45">
        <f t="shared" ca="1" si="17"/>
        <v>87.114403045499074</v>
      </c>
      <c r="P33" s="45">
        <f t="shared" ca="1" si="18"/>
        <v>87.114403045499074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1869190</v>
      </c>
      <c r="M37" s="792">
        <f t="shared" ca="1" si="24"/>
        <v>2190780</v>
      </c>
      <c r="N37" s="792">
        <f t="shared" ca="1" si="24"/>
        <v>1614379.5999999999</v>
      </c>
      <c r="O37" s="792">
        <f t="shared" ca="1" si="17"/>
        <v>86.367870574954921</v>
      </c>
      <c r="P37" s="792">
        <f t="shared" ca="1" si="18"/>
        <v>73.689717817398375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424670</v>
      </c>
      <c r="N41" s="85">
        <f t="shared" ca="1" si="25"/>
        <v>335170</v>
      </c>
      <c r="O41" s="85">
        <f t="shared" ref="O41:O49" ca="1" si="26">IF(L41&gt;0,N41*100/L41,0)</f>
        <v>100.15538622441356</v>
      </c>
      <c r="P41" s="85">
        <f t="shared" ref="P41:P49" ca="1" si="27">IF(M41&gt;0,N41*100/M41,0)</f>
        <v>78.924812207125527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424670</v>
      </c>
      <c r="N43" s="92">
        <f t="shared" ca="1" si="28"/>
        <v>335170</v>
      </c>
      <c r="O43" s="92">
        <f t="shared" ca="1" si="26"/>
        <v>100.15538622441356</v>
      </c>
      <c r="P43" s="92">
        <f t="shared" ca="1" si="27"/>
        <v>78.924812207125527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334650</v>
      </c>
      <c r="M44" s="38">
        <f t="shared" ca="1" si="29"/>
        <v>424670</v>
      </c>
      <c r="N44" s="38">
        <f t="shared" ca="1" si="29"/>
        <v>335170</v>
      </c>
      <c r="O44" s="38">
        <f t="shared" ca="1" si="26"/>
        <v>100.15538622441356</v>
      </c>
      <c r="P44" s="38">
        <f t="shared" ca="1" si="27"/>
        <v>78.924812207125527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IFERROR(__xludf.DUMMYFUNCTION("IMPORTRANGE(""https://docs.google.com/spreadsheets/d/1MeEWN-I1oV_STSDYn1IFDPWt_1FKiwhDph83XaGc0o0/edit?usp=sharing"",""งบพรบ!M87"")"),334650)</f>
        <v>334650</v>
      </c>
      <c r="M46" s="45">
        <f ca="1">IFERROR(__xludf.DUMMYFUNCTION("IMPORTRANGE(""https://docs.google.com/spreadsheets/d/1MeEWN-I1oV_STSDYn1IFDPWt_1FKiwhDph83XaGc0o0/edit?usp=sharing"",""งบพรบ!R87"")"),424670)</f>
        <v>424670</v>
      </c>
      <c r="N46" s="45">
        <f ca="1">IFERROR(__xludf.DUMMYFUNCTION("IMPORTRANGE(""https://docs.google.com/spreadsheets/d/1MeEWN-I1oV_STSDYn1IFDPWt_1FKiwhDph83XaGc0o0/edit?usp=sharing"",""งบพรบ!T87"")"),335170)</f>
        <v>335170</v>
      </c>
      <c r="O46" s="45">
        <f t="shared" ca="1" si="26"/>
        <v>100.15538622441356</v>
      </c>
      <c r="P46" s="45">
        <f t="shared" ca="1" si="27"/>
        <v>78.924812207125527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310500</v>
      </c>
      <c r="M53" s="115">
        <f t="shared" ca="1" si="31"/>
        <v>366500</v>
      </c>
      <c r="N53" s="115">
        <f t="shared" ca="1" si="31"/>
        <v>267818.25</v>
      </c>
      <c r="O53" s="115">
        <f t="shared" ref="O53:O61" ca="1" si="32">IF(L53&gt;0,N53*100/L53,0)</f>
        <v>86.253864734299512</v>
      </c>
      <c r="P53" s="115">
        <f t="shared" ref="P53:P61" ca="1" si="33">IF(M53&gt;0,N53*100/M53,0)</f>
        <v>73.074556616643932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310500</v>
      </c>
      <c r="M55" s="122">
        <f t="shared" ca="1" si="34"/>
        <v>366500</v>
      </c>
      <c r="N55" s="122">
        <f t="shared" ca="1" si="34"/>
        <v>267818.25</v>
      </c>
      <c r="O55" s="122">
        <f t="shared" ca="1" si="32"/>
        <v>86.253864734299512</v>
      </c>
      <c r="P55" s="122">
        <f t="shared" ca="1" si="33"/>
        <v>73.074556616643932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310500</v>
      </c>
      <c r="M56" s="38">
        <f t="shared" ca="1" si="35"/>
        <v>331000</v>
      </c>
      <c r="N56" s="38">
        <f t="shared" ca="1" si="35"/>
        <v>267818.25</v>
      </c>
      <c r="O56" s="38">
        <f t="shared" ca="1" si="32"/>
        <v>86.253864734299512</v>
      </c>
      <c r="P56" s="38">
        <f t="shared" ca="1" si="33"/>
        <v>80.911858006042294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IFERROR(__xludf.DUMMYFUNCTION("IMPORTRANGE(""https://docs.google.com/spreadsheets/d/1MeEWN-I1oV_STSDYn1IFDPWt_1FKiwhDph83XaGc0o0/edit?usp=sharing"",""งบพรบ!W87"")"),310500)</f>
        <v>310500</v>
      </c>
      <c r="M58" s="45">
        <f ca="1">IFERROR(__xludf.DUMMYFUNCTION("IMPORTRANGE(""https://docs.google.com/spreadsheets/d/1MeEWN-I1oV_STSDYn1IFDPWt_1FKiwhDph83XaGc0o0/edit?usp=sharing"",""งบพรบ!AB87"")"),331000)</f>
        <v>331000</v>
      </c>
      <c r="N58" s="45">
        <f ca="1">IFERROR(__xludf.DUMMYFUNCTION("IMPORTRANGE(""https://docs.google.com/spreadsheets/d/1MeEWN-I1oV_STSDYn1IFDPWt_1FKiwhDph83XaGc0o0/edit?usp=sharing"",""งบพรบ!AD87"")"),267818.25)</f>
        <v>267818.25</v>
      </c>
      <c r="O58" s="45">
        <f t="shared" ca="1" si="32"/>
        <v>86.253864734299512</v>
      </c>
      <c r="P58" s="45">
        <f t="shared" ca="1" si="33"/>
        <v>80.911858006042294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35500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IFERROR(__xludf.DUMMYFUNCTION("IMPORTRANGE(""https://docs.google.com/spreadsheets/d/1MeEWN-I1oV_STSDYn1IFDPWt_1FKiwhDph83XaGc0o0/edit?usp=sharing"",""งบพรบ!AC87"")"),35500)</f>
        <v>35500</v>
      </c>
      <c r="N61" s="52">
        <f ca="1">IFERROR(__xludf.DUMMYFUNCTION("IMPORTRANGE(""https://docs.google.com/spreadsheets/d/1MeEWN-I1oV_STSDYn1IFDPWt_1FKiwhDph83XaGc0o0/edit?usp=sharing"",""งบพรบ!AE87"")"),0)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IFERROR(__xludf.DUMMYFUNCTION("IMPORTRANGE(""https://docs.google.com/spreadsheets/d/1MeEWN-I1oV_STSDYn1IFDPWt_1FKiwhDph83XaGc0o0/edit?usp=sharing"",""งบพรบ!AG87"")"),0)</f>
        <v>0</v>
      </c>
      <c r="M71" s="45">
        <f ca="1">IFERROR(__xludf.DUMMYFUNCTION("IMPORTRANGE(""https://docs.google.com/spreadsheets/d/1MeEWN-I1oV_STSDYn1IFDPWt_1FKiwhDph83XaGc0o0/edit?usp=sharing"",""งบพรบ!AL87"")"),0)</f>
        <v>0</v>
      </c>
      <c r="N71" s="45">
        <f ca="1">IFERROR(__xludf.DUMMYFUNCTION("IMPORTRANGE(""https://docs.google.com/spreadsheets/d/1MeEWN-I1oV_STSDYn1IFDPWt_1FKiwhDph83XaGc0o0/edit?usp=sharing"",""งบพรบ!AN87"")"),0)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IFERROR(__xludf.DUMMYFUNCTION("IMPORTRANGE(""https://docs.google.com/spreadsheets/d/1MeEWN-I1oV_STSDYn1IFDPWt_1FKiwhDph83XaGc0o0/edit?usp=sharing"",""งบพรบ!AJ87"")"),0)</f>
        <v>0</v>
      </c>
      <c r="M74" s="45">
        <f ca="1">IFERROR(__xludf.DUMMYFUNCTION("IMPORTRANGE(""https://docs.google.com/spreadsheets/d/1MeEWN-I1oV_STSDYn1IFDPWt_1FKiwhDph83XaGc0o0/edit?usp=sharing"",""งบพรบ!AM87"")"),0)</f>
        <v>0</v>
      </c>
      <c r="N74" s="45">
        <f ca="1">IFERROR(__xludf.DUMMYFUNCTION("IMPORTRANGE(""https://docs.google.com/spreadsheets/d/1MeEWN-I1oV_STSDYn1IFDPWt_1FKiwhDph83XaGc0o0/edit?usp=sharing"",""งบพรบ!AO87"")"),0)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IFERROR(__xludf.DUMMYFUNCTION("IMPORTRANGE(""https://docs.google.com/spreadsheets/d/1QqKyyYR6Q21VydFLVH3TRQUabQu_ym0Zz7PgGX0-kHA/edit?usp=sharing"",""แผน!H87"")"),0)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IFERROR(__xludf.DUMMYFUNCTION("IMPORTRANGE(""https://docs.google.com/spreadsheets/d/1QqKyyYR6Q21VydFLVH3TRQUabQu_ym0Zz7PgGX0-kHA/edit?usp=sharing"",""แผน!I87"")"),0)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IFERROR(__xludf.DUMMYFUNCTION("IMPORTRANGE(""https://docs.google.com/spreadsheets/d/1QqKyyYR6Q21VydFLVH3TRQUabQu_ym0Zz7PgGX0-kHA/edit?usp=sharing"",""แผน!F87"")"),0)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IFERROR(__xludf.DUMMYFUNCTION("IMPORTRANGE(""https://docs.google.com/spreadsheets/d/1QqKyyYR6Q21VydFLVH3TRQUabQu_ym0Zz7PgGX0-kHA/edit?usp=sharing"",""แผน!G87"")"),0)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IFERROR(__xludf.DUMMYFUNCTION("IMPORTRANGE(""https://docs.google.com/spreadsheets/d/1QqKyyYR6Q21VydFLVH3TRQUabQu_ym0Zz7PgGX0-kHA/edit?usp=sharing"",""แผน!D87"")"),0)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IFERROR(__xludf.DUMMYFUNCTION("IMPORTRANGE(""https://docs.google.com/spreadsheets/d/1QqKyyYR6Q21VydFLVH3TRQUabQu_ym0Zz7PgGX0-kHA/edit?usp=sharing"",""แผน!E87"")"),0)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IFERROR(__xludf.DUMMYFUNCTION("IMPORTRANGE(""https://docs.google.com/spreadsheets/d/1QqKyyYR6Q21VydFLVH3TRQUabQu_ym0Zz7PgGX0-kHA/edit?usp=sharing"",""แผน!J87"")"),0)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462300</v>
      </c>
      <c r="M88" s="154">
        <f t="shared" ca="1" si="49"/>
        <v>462300</v>
      </c>
      <c r="N88" s="154">
        <f t="shared" ca="1" si="49"/>
        <v>308459.40000000002</v>
      </c>
      <c r="O88" s="154">
        <f t="shared" ref="O88:O96" ca="1" si="50">IF(L88&gt;0,N88*100/L88,0)</f>
        <v>66.722777417261526</v>
      </c>
      <c r="P88" s="154">
        <f t="shared" ref="P88:P96" ca="1" si="51">IF(M88&gt;0,N88*100/M88,0)</f>
        <v>66.722777417261526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462300</v>
      </c>
      <c r="M90" s="45">
        <f t="shared" ca="1" si="52"/>
        <v>462300</v>
      </c>
      <c r="N90" s="45">
        <f t="shared" ca="1" si="52"/>
        <v>308459.40000000002</v>
      </c>
      <c r="O90" s="45">
        <f t="shared" ca="1" si="50"/>
        <v>66.722777417261526</v>
      </c>
      <c r="P90" s="45">
        <f t="shared" ca="1" si="51"/>
        <v>66.722777417261526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462300</v>
      </c>
      <c r="M91" s="38">
        <f t="shared" ca="1" si="53"/>
        <v>462300</v>
      </c>
      <c r="N91" s="38">
        <f t="shared" ca="1" si="53"/>
        <v>308459.40000000002</v>
      </c>
      <c r="O91" s="38">
        <f t="shared" ca="1" si="50"/>
        <v>66.722777417261526</v>
      </c>
      <c r="P91" s="38">
        <f t="shared" ca="1" si="51"/>
        <v>66.722777417261526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IFERROR(__xludf.DUMMYFUNCTION("IMPORTRANGE(""https://docs.google.com/spreadsheets/d/1MeEWN-I1oV_STSDYn1IFDPWt_1FKiwhDph83XaGc0o0/edit?usp=sharing"",""งบพรบ!AQ87"")"),462300)</f>
        <v>462300</v>
      </c>
      <c r="M93" s="45">
        <f ca="1">IFERROR(__xludf.DUMMYFUNCTION("IMPORTRANGE(""https://docs.google.com/spreadsheets/d/1MeEWN-I1oV_STSDYn1IFDPWt_1FKiwhDph83XaGc0o0/edit?usp=sharing"",""งบพรบ!AV87"")"),462300)</f>
        <v>462300</v>
      </c>
      <c r="N93" s="45">
        <f ca="1">IFERROR(__xludf.DUMMYFUNCTION("IMPORTRANGE(""https://docs.google.com/spreadsheets/d/1MeEWN-I1oV_STSDYn1IFDPWt_1FKiwhDph83XaGc0o0/edit?usp=sharing"",""งบพรบ!AX87"")"),308459.4)</f>
        <v>308459.40000000002</v>
      </c>
      <c r="O93" s="45">
        <f t="shared" ca="1" si="50"/>
        <v>66.722777417261526</v>
      </c>
      <c r="P93" s="45">
        <f t="shared" ca="1" si="51"/>
        <v>66.722777417261526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IFERROR(__xludf.DUMMYFUNCTION("IMPORTRANGE(""https://docs.google.com/spreadsheets/d/1MeEWN-I1oV_STSDYn1IFDPWt_1FKiwhDph83XaGc0o0/edit?usp=sharing"",""งบพรบ!AT87"")"),0)</f>
        <v>0</v>
      </c>
      <c r="M96" s="45">
        <f ca="1">IFERROR(__xludf.DUMMYFUNCTION("IMPORTRANGE(""https://docs.google.com/spreadsheets/d/1MeEWN-I1oV_STSDYn1IFDPWt_1FKiwhDph83XaGc0o0/edit?usp=sharing"",""งบพรบ!AW87"")"),0)</f>
        <v>0</v>
      </c>
      <c r="N96" s="45">
        <f ca="1">IFERROR(__xludf.DUMMYFUNCTION("IMPORTRANGE(""https://docs.google.com/spreadsheets/d/1MeEWN-I1oV_STSDYn1IFDPWt_1FKiwhDph83XaGc0o0/edit?usp=sharing"",""งบพรบ!AY87"")"),0)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IFERROR(__xludf.DUMMYFUNCTION("IMPORTRANGE(""https://docs.google.com/spreadsheets/d/1QqKyyYR6Q21VydFLVH3TRQUabQu_ym0Zz7PgGX0-kHA/edit?usp=sharing"",""แผน!K87"")"),0)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IFERROR(__xludf.DUMMYFUNCTION("IMPORTRANGE(""https://docs.google.com/spreadsheets/d/1QqKyyYR6Q21VydFLVH3TRQUabQu_ym0Zz7PgGX0-kHA/edit?usp=sharing"",""แผน!L87"")"),0)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IFERROR(__xludf.DUMMYFUNCTION("IMPORTRANGE(""https://docs.google.com/spreadsheets/d/1QqKyyYR6Q21VydFLVH3TRQUabQu_ym0Zz7PgGX0-kHA/edit?usp=sharing"",""แผน!M87"")"),1)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IFERROR(__xludf.DUMMYFUNCTION("IMPORTRANGE(""https://docs.google.com/spreadsheets/d/1QqKyyYR6Q21VydFLVH3TRQUabQu_ym0Zz7PgGX0-kHA/edit?usp=sharing"",""แผน!N87"")"),0)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IFERROR(__xludf.DUMMYFUNCTION("IMPORTRANGE(""https://docs.google.com/spreadsheets/d/1QqKyyYR6Q21VydFLVH3TRQUabQu_ym0Zz7PgGX0-kHA/edit?usp=sharing"",""แผน!O87"")"),0)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IFERROR(__xludf.DUMMYFUNCTION("IMPORTRANGE(""https://docs.google.com/spreadsheets/d/1QqKyyYR6Q21VydFLVH3TRQUabQu_ym0Zz7PgGX0-kHA/edit?usp=sharing"",""แผน!O87"")"),0)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IFERROR(__xludf.DUMMYFUNCTION("IMPORTRANGE(""https://docs.google.com/spreadsheets/d/1QqKyyYR6Q21VydFLVH3TRQUabQu_ym0Zz7PgGX0-kHA/edit?usp=sharing"",""แผน!P87"")"),1)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IFERROR(__xludf.DUMMYFUNCTION("IMPORTRANGE(""https://docs.google.com/spreadsheets/d/1QqKyyYR6Q21VydFLVH3TRQUabQu_ym0Zz7PgGX0-kHA/edit?usp=sharing"",""แผน!P87"")"),1)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IFERROR(__xludf.DUMMYFUNCTION("IMPORTRANGE(""https://docs.google.com/spreadsheets/d/1QqKyyYR6Q21VydFLVH3TRQUabQu_ym0Zz7PgGX0-kHA/edit?usp=sharing"",""แผน!Q87"")"),0)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IFERROR(__xludf.DUMMYFUNCTION("IMPORTRANGE(""https://docs.google.com/spreadsheets/d/1QqKyyYR6Q21VydFLVH3TRQUabQu_ym0Zz7PgGX0-kHA/edit?usp=sharing"",""แผน!Q87"")"),0)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IFERROR(__xludf.DUMMYFUNCTION("IMPORTRANGE(""https://docs.google.com/spreadsheets/d/1QqKyyYR6Q21VydFLVH3TRQUabQu_ym0Zz7PgGX0-kHA/edit?usp=sharing"",""แผน!R87"")"),0)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1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IFERROR(__xludf.DUMMYFUNCTION("IMPORTRANGE(""https://docs.google.com/spreadsheets/d/1QqKyyYR6Q21VydFLVH3TRQUabQu_ym0Zz7PgGX0-kHA/edit?usp=sharing"",""แผน!R87"")"),0)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IFERROR(__xludf.DUMMYFUNCTION("IMPORTRANGE(""https://docs.google.com/spreadsheets/d/1QqKyyYR6Q21VydFLVH3TRQUabQu_ym0Zz7PgGX0-kHA/edit?usp=sharing"",""แผน!R87"")"),0)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IFERROR(__xludf.DUMMYFUNCTION("IMPORTRANGE(""https://docs.google.com/spreadsheets/d/1QqKyyYR6Q21VydFLVH3TRQUabQu_ym0Zz7PgGX0-kHA/edit?usp=sharing"",""แผน!S87"")"),1)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IFERROR(__xludf.DUMMYFUNCTION("IMPORTRANGE(""https://docs.google.com/spreadsheets/d/1QqKyyYR6Q21VydFLVH3TRQUabQu_ym0Zz7PgGX0-kHA/edit?usp=sharing"",""แผน!T87"")"),0)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IFERROR(__xludf.DUMMYFUNCTION("IMPORTRANGE(""https://docs.google.com/spreadsheets/d/1MeEWN-I1oV_STSDYn1IFDPWt_1FKiwhDph83XaGc0o0/edit?usp=sharing"",""งบพรบ!BA87"")"),0)</f>
        <v>0</v>
      </c>
      <c r="M124" s="45">
        <f ca="1">IFERROR(__xludf.DUMMYFUNCTION("IMPORTRANGE(""https://docs.google.com/spreadsheets/d/1MeEWN-I1oV_STSDYn1IFDPWt_1FKiwhDph83XaGc0o0/edit?usp=sharing"",""งบพรบ!BF87"")"),0)</f>
        <v>0</v>
      </c>
      <c r="N124" s="45">
        <f ca="1">IFERROR(__xludf.DUMMYFUNCTION("IMPORTRANGE(""https://docs.google.com/spreadsheets/d/1MeEWN-I1oV_STSDYn1IFDPWt_1FKiwhDph83XaGc0o0/edit?usp=sharing"",""งบพรบ!BH87"")"),0)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IFERROR(__xludf.DUMMYFUNCTION("IMPORTRANGE(""https://docs.google.com/spreadsheets/d/1MeEWN-I1oV_STSDYn1IFDPWt_1FKiwhDph83XaGc0o0/edit?usp=sharing"",""งบพรบ!BD87"")"),0)</f>
        <v>0</v>
      </c>
      <c r="M127" s="45">
        <f ca="1">IFERROR(__xludf.DUMMYFUNCTION("IMPORTRANGE(""https://docs.google.com/spreadsheets/d/1MeEWN-I1oV_STSDYn1IFDPWt_1FKiwhDph83XaGc0o0/edit?usp=sharing"",""งบพรบ!BG87"")"),0)</f>
        <v>0</v>
      </c>
      <c r="N127" s="45">
        <f ca="1">IFERROR(__xludf.DUMMYFUNCTION("IMPORTRANGE(""https://docs.google.com/spreadsheets/d/1MeEWN-I1oV_STSDYn1IFDPWt_1FKiwhDph83XaGc0o0/edit?usp=sharing"",""งบพรบ!BI87"")"),0)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IFERROR(__xludf.DUMMYFUNCTION("IMPORTRANGE(""https://docs.google.com/spreadsheets/d/1MeEWN-I1oV_STSDYn1IFDPWt_1FKiwhDph83XaGc0o0/edit?usp=sharing"",""งบพรบ!BK87"")"),0)</f>
        <v>0</v>
      </c>
      <c r="M137" s="45">
        <f ca="1">IFERROR(__xludf.DUMMYFUNCTION("IMPORTRANGE(""https://docs.google.com/spreadsheets/d/1MeEWN-I1oV_STSDYn1IFDPWt_1FKiwhDph83XaGc0o0/edit?usp=sharing"",""งบพรบ!BP87"")"),0)</f>
        <v>0</v>
      </c>
      <c r="N137" s="45">
        <f ca="1">IFERROR(__xludf.DUMMYFUNCTION("IMPORTRANGE(""https://docs.google.com/spreadsheets/d/1MeEWN-I1oV_STSDYn1IFDPWt_1FKiwhDph83XaGc0o0/edit?usp=sharing"",""งบพรบ!BR87"")"),0)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IFERROR(__xludf.DUMMYFUNCTION("IMPORTRANGE(""https://docs.google.com/spreadsheets/d/1MeEWN-I1oV_STSDYn1IFDPWt_1FKiwhDph83XaGc0o0/edit?usp=sharing"",""งบพรบ!BN87"")"),0)</f>
        <v>0</v>
      </c>
      <c r="M140" s="45">
        <f ca="1">IFERROR(__xludf.DUMMYFUNCTION("IMPORTRANGE(""https://docs.google.com/spreadsheets/d/1MeEWN-I1oV_STSDYn1IFDPWt_1FKiwhDph83XaGc0o0/edit?usp=sharing"",""งบพรบ!BQ87"")"),0)</f>
        <v>0</v>
      </c>
      <c r="N140" s="45">
        <f ca="1">IFERROR(__xludf.DUMMYFUNCTION("IMPORTRANGE(""https://docs.google.com/spreadsheets/d/1MeEWN-I1oV_STSDYn1IFDPWt_1FKiwhDph83XaGc0o0/edit?usp=sharing"",""งบพรบ!BS87"")"),0)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IFERROR(__xludf.DUMMYFUNCTION("IMPORTRANGE(""https://docs.google.com/spreadsheets/d/1QqKyyYR6Q21VydFLVH3TRQUabQu_ym0Zz7PgGX0-kHA/edit?usp=sharing"",""แผน!U87"")"),0)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IFERROR(__xludf.DUMMYFUNCTION("IMPORTRANGE(""https://docs.google.com/spreadsheets/d/1QqKyyYR6Q21VydFLVH3TRQUabQu_ym0Zz7PgGX0-kHA/edit?usp=sharing"",""แผน!V87"")"),0)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IFERROR(__xludf.DUMMYFUNCTION("IMPORTRANGE(""https://docs.google.com/spreadsheets/d/1QqKyyYR6Q21VydFLVH3TRQUabQu_ym0Zz7PgGX0-kHA/edit?usp=sharing"",""แผน!W87"")"),0)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11460</v>
      </c>
      <c r="N149" s="154">
        <f t="shared" ca="1" si="77"/>
        <v>10022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87.452006980802793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11460</v>
      </c>
      <c r="N151" s="45">
        <f t="shared" ca="1" si="80"/>
        <v>10022</v>
      </c>
      <c r="O151" s="45">
        <f t="shared" ca="1" si="78"/>
        <v>0</v>
      </c>
      <c r="P151" s="45">
        <f t="shared" ca="1" si="79"/>
        <v>87.452006980802793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11460</v>
      </c>
      <c r="N152" s="38">
        <f t="shared" ca="1" si="81"/>
        <v>10022</v>
      </c>
      <c r="O152" s="38">
        <f t="shared" ca="1" si="78"/>
        <v>0</v>
      </c>
      <c r="P152" s="38">
        <f t="shared" ca="1" si="79"/>
        <v>87.452006980802793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IFERROR(__xludf.DUMMYFUNCTION("IMPORTRANGE(""https://docs.google.com/spreadsheets/d/1MeEWN-I1oV_STSDYn1IFDPWt_1FKiwhDph83XaGc0o0/edit?usp=sharing"",""งบพรบ!BU87"")"),0)</f>
        <v>0</v>
      </c>
      <c r="M154" s="45">
        <f ca="1">IFERROR(__xludf.DUMMYFUNCTION("IMPORTRANGE(""https://docs.google.com/spreadsheets/d/1MeEWN-I1oV_STSDYn1IFDPWt_1FKiwhDph83XaGc0o0/edit?usp=sharing"",""งบพรบ!BZ87"")"),11460)</f>
        <v>11460</v>
      </c>
      <c r="N154" s="45">
        <f ca="1">IFERROR(__xludf.DUMMYFUNCTION("IMPORTRANGE(""https://docs.google.com/spreadsheets/d/1MeEWN-I1oV_STSDYn1IFDPWt_1FKiwhDph83XaGc0o0/edit?usp=sharing"",""งบพรบ!CB87"")"),10022)</f>
        <v>10022</v>
      </c>
      <c r="O154" s="45">
        <f t="shared" ca="1" si="78"/>
        <v>0</v>
      </c>
      <c r="P154" s="45">
        <f t="shared" ca="1" si="79"/>
        <v>87.452006980802793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IFERROR(__xludf.DUMMYFUNCTION("IMPORTRANGE(""https://docs.google.com/spreadsheets/d/1MeEWN-I1oV_STSDYn1IFDPWt_1FKiwhDph83XaGc0o0/edit?usp=sharing"",""งบพรบ!BX87"")"),0)</f>
        <v>0</v>
      </c>
      <c r="M157" s="45">
        <f ca="1">IFERROR(__xludf.DUMMYFUNCTION("IMPORTRANGE(""https://docs.google.com/spreadsheets/d/1MeEWN-I1oV_STSDYn1IFDPWt_1FKiwhDph83XaGc0o0/edit?usp=sharing"",""งบพรบ!CA87"")"),0)</f>
        <v>0</v>
      </c>
      <c r="N157" s="45">
        <f ca="1">IFERROR(__xludf.DUMMYFUNCTION("IMPORTRANGE(""https://docs.google.com/spreadsheets/d/1MeEWN-I1oV_STSDYn1IFDPWt_1FKiwhDph83XaGc0o0/edit?usp=sharing"",""งบพรบ!CC87"")"),0)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IFERROR(__xludf.DUMMYFUNCTION("IMPORTRANGE(""https://docs.google.com/spreadsheets/d/1QqKyyYR6Q21VydFLVH3TRQUabQu_ym0Zz7PgGX0-kHA/edit?usp=sharing"",""แผน!X87"")"),0)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12</v>
      </c>
      <c r="J164" s="242">
        <f t="shared" si="83"/>
        <v>12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23060</v>
      </c>
      <c r="M165" s="154">
        <f t="shared" ca="1" si="84"/>
        <v>43770</v>
      </c>
      <c r="N165" s="154">
        <f t="shared" ca="1" si="84"/>
        <v>43770</v>
      </c>
      <c r="O165" s="154">
        <f t="shared" ref="O165:O173" ca="1" si="85">IF(L165&gt;0,N165*100/L165,0)</f>
        <v>189.80919340849957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23060</v>
      </c>
      <c r="M167" s="45">
        <f t="shared" ca="1" si="87"/>
        <v>43770</v>
      </c>
      <c r="N167" s="45">
        <f t="shared" ca="1" si="87"/>
        <v>43770</v>
      </c>
      <c r="O167" s="45">
        <f t="shared" ca="1" si="85"/>
        <v>189.80919340849957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23060</v>
      </c>
      <c r="M168" s="38">
        <f t="shared" ca="1" si="88"/>
        <v>43770</v>
      </c>
      <c r="N168" s="38">
        <f t="shared" ca="1" si="88"/>
        <v>43770</v>
      </c>
      <c r="O168" s="38">
        <f t="shared" ca="1" si="85"/>
        <v>189.80919340849957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IFERROR(__xludf.DUMMYFUNCTION("IMPORTRANGE(""https://docs.google.com/spreadsheets/d/1MeEWN-I1oV_STSDYn1IFDPWt_1FKiwhDph83XaGc0o0/edit?usp=sharing"",""งบพรบ!CE87"")"),23060)</f>
        <v>23060</v>
      </c>
      <c r="M170" s="45">
        <f ca="1">IFERROR(__xludf.DUMMYFUNCTION("IMPORTRANGE(""https://docs.google.com/spreadsheets/d/1MeEWN-I1oV_STSDYn1IFDPWt_1FKiwhDph83XaGc0o0/edit?usp=sharing"",""งบพรบ!CJ87"")"),43770)</f>
        <v>43770</v>
      </c>
      <c r="N170" s="45">
        <f ca="1">IFERROR(__xludf.DUMMYFUNCTION("IMPORTRANGE(""https://docs.google.com/spreadsheets/d/1MeEWN-I1oV_STSDYn1IFDPWt_1FKiwhDph83XaGc0o0/edit?usp=sharing"",""งบพรบ!CL87"")"),43770)</f>
        <v>43770</v>
      </c>
      <c r="O170" s="45">
        <f t="shared" ca="1" si="85"/>
        <v>189.80919340849957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IFERROR(__xludf.DUMMYFUNCTION("IMPORTRANGE(""https://docs.google.com/spreadsheets/d/1MeEWN-I1oV_STSDYn1IFDPWt_1FKiwhDph83XaGc0o0/edit?usp=sharing"",""งบพรบ!CH87"")"),0)</f>
        <v>0</v>
      </c>
      <c r="M173" s="45">
        <f ca="1">IFERROR(__xludf.DUMMYFUNCTION("IMPORTRANGE(""https://docs.google.com/spreadsheets/d/1MeEWN-I1oV_STSDYn1IFDPWt_1FKiwhDph83XaGc0o0/edit?usp=sharing"",""งบพรบ!CK87"")"),0)</f>
        <v>0</v>
      </c>
      <c r="N173" s="45">
        <f ca="1">IFERROR(__xludf.DUMMYFUNCTION("IMPORTRANGE(""https://docs.google.com/spreadsheets/d/1MeEWN-I1oV_STSDYn1IFDPWt_1FKiwhDph83XaGc0o0/edit?usp=sharing"",""งบพรบ!CM87"")"),0)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12</v>
      </c>
      <c r="J174" s="250">
        <f t="shared" si="90"/>
        <v>12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IFERROR(__xludf.DUMMYFUNCTION("IMPORTRANGE(""https://docs.google.com/spreadsheets/d/1QqKyyYR6Q21VydFLVH3TRQUabQu_ym0Zz7PgGX0-kHA/edit?usp=sharing"",""แผน!Y87"")"),12)</f>
        <v>12</v>
      </c>
      <c r="J176" s="181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38200</v>
      </c>
      <c r="M181" s="154">
        <f t="shared" ca="1" si="92"/>
        <v>38200</v>
      </c>
      <c r="N181" s="154">
        <f t="shared" ca="1" si="92"/>
        <v>30805</v>
      </c>
      <c r="O181" s="154">
        <f t="shared" ref="O181:O189" ca="1" si="93">IF(L181&gt;0,N181*100/L181,0)</f>
        <v>80.641361256544499</v>
      </c>
      <c r="P181" s="154">
        <f t="shared" ref="P181:P189" ca="1" si="94">IF(M181&gt;0,N181*100/M181,0)</f>
        <v>80.641361256544499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38200</v>
      </c>
      <c r="M183" s="45">
        <f t="shared" ca="1" si="95"/>
        <v>38200</v>
      </c>
      <c r="N183" s="45">
        <f t="shared" ca="1" si="95"/>
        <v>30805</v>
      </c>
      <c r="O183" s="45">
        <f t="shared" ca="1" si="93"/>
        <v>80.641361256544499</v>
      </c>
      <c r="P183" s="45">
        <f t="shared" ca="1" si="94"/>
        <v>80.641361256544499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38200</v>
      </c>
      <c r="M184" s="38">
        <f t="shared" ca="1" si="96"/>
        <v>38200</v>
      </c>
      <c r="N184" s="38">
        <f t="shared" ca="1" si="96"/>
        <v>30805</v>
      </c>
      <c r="O184" s="38">
        <f t="shared" ca="1" si="93"/>
        <v>80.641361256544499</v>
      </c>
      <c r="P184" s="38">
        <f t="shared" ca="1" si="94"/>
        <v>80.641361256544499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IFERROR(__xludf.DUMMYFUNCTION("IMPORTRANGE(""https://docs.google.com/spreadsheets/d/1MeEWN-I1oV_STSDYn1IFDPWt_1FKiwhDph83XaGc0o0/edit?usp=sharing"",""งบพรบ!CO87"")"),38200)</f>
        <v>38200</v>
      </c>
      <c r="M186" s="45">
        <f ca="1">IFERROR(__xludf.DUMMYFUNCTION("IMPORTRANGE(""https://docs.google.com/spreadsheets/d/1MeEWN-I1oV_STSDYn1IFDPWt_1FKiwhDph83XaGc0o0/edit?usp=sharing"",""งบพรบ!CT87"")"),38200)</f>
        <v>38200</v>
      </c>
      <c r="N186" s="45">
        <f ca="1">IFERROR(__xludf.DUMMYFUNCTION("IMPORTRANGE(""https://docs.google.com/spreadsheets/d/1MeEWN-I1oV_STSDYn1IFDPWt_1FKiwhDph83XaGc0o0/edit?usp=sharing"",""งบพรบ!CV87"")"),30805)</f>
        <v>30805</v>
      </c>
      <c r="O186" s="45">
        <f t="shared" ca="1" si="93"/>
        <v>80.641361256544499</v>
      </c>
      <c r="P186" s="45">
        <f t="shared" ca="1" si="94"/>
        <v>80.641361256544499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IFERROR(__xludf.DUMMYFUNCTION("IMPORTRANGE(""https://docs.google.com/spreadsheets/d/1MeEWN-I1oV_STSDYn1IFDPWt_1FKiwhDph83XaGc0o0/edit?usp=sharing"",""งบพรบ!CR87"")"),0)</f>
        <v>0</v>
      </c>
      <c r="M189" s="45">
        <f ca="1">IFERROR(__xludf.DUMMYFUNCTION("IMPORTRANGE(""https://docs.google.com/spreadsheets/d/1MeEWN-I1oV_STSDYn1IFDPWt_1FKiwhDph83XaGc0o0/edit?usp=sharing"",""งบพรบ!CU87"")"),0)</f>
        <v>0</v>
      </c>
      <c r="N189" s="45">
        <f ca="1">IFERROR(__xludf.DUMMYFUNCTION("IMPORTRANGE(""https://docs.google.com/spreadsheets/d/1MeEWN-I1oV_STSDYn1IFDPWt_1FKiwhDph83XaGc0o0/edit?usp=sharing"",""งบพรบ!CW87"")"),0)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IFERROR(__xludf.DUMMYFUNCTION("IMPORTRANGE(""https://docs.google.com/spreadsheets/d/1QqKyyYR6Q21VydFLVH3TRQUabQu_ym0Zz7PgGX0-kHA/edit?usp=sharing"",""แผน!Z87"")"),6000)</f>
        <v>6000</v>
      </c>
      <c r="M191" s="154"/>
      <c r="N191" s="264">
        <v>1220</v>
      </c>
      <c r="O191" s="154">
        <f ca="1">IF(L191&gt;0,N191*100/L191,0)</f>
        <v>20.333333333333332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IFERROR(__xludf.DUMMYFUNCTION("IMPORTRANGE(""https://docs.google.com/spreadsheets/d/1QqKyyYR6Q21VydFLVH3TRQUabQu_ym0Zz7PgGX0-kHA/edit?usp=sharing"",""แผน!AC87"")"),4)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135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135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IFERROR(__xludf.DUMMYFUNCTION("IMPORTRANGE(""https://docs.google.com/spreadsheets/d/1QqKyyYR6Q21VydFLVH3TRQUabQu_ym0Zz7PgGX0-kHA/edit?usp=sharing"",""แผน!AE87"")"),2000)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IFERROR(__xludf.DUMMYFUNCTION("IMPORTRANGE(""https://docs.google.com/spreadsheets/d/1QqKyyYR6Q21VydFLVH3TRQUabQu_ym0Zz7PgGX0-kHA/edit?usp=sharing"",""แผน!AF87"")"),16000)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IFERROR(__xludf.DUMMYFUNCTION("IMPORTRANGE(""https://docs.google.com/spreadsheets/d/1QqKyyYR6Q21VydFLVH3TRQUabQu_ym0Zz7PgGX0-kHA/edit?usp=sharing"",""แผน!AG87"")"),8000)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IFERROR(__xludf.DUMMYFUNCTION("IMPORTRANGE(""https://docs.google.com/spreadsheets/d/1QqKyyYR6Q21VydFLVH3TRQUabQu_ym0Zz7PgGX0-kHA/edit?usp=sharing"",""แผน!AH87"")"),0)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IFERROR(__xludf.DUMMYFUNCTION("IMPORTRANGE(""https://docs.google.com/spreadsheets/d/1QqKyyYR6Q21VydFLVH3TRQUabQu_ym0Zz7PgGX0-kHA/edit?usp=sharing"",""แผน!AI87"")"),2)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IFERROR(__xludf.DUMMYFUNCTION("IMPORTRANGE(""https://docs.google.com/spreadsheets/d/1QqKyyYR6Q21VydFLVH3TRQUabQu_ym0Zz7PgGX0-kHA/edit?usp=sharing"",""แผน!AK87"")"),0)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IFERROR(__xludf.DUMMYFUNCTION("IMPORTRANGE(""https://docs.google.com/spreadsheets/d/1QqKyyYR6Q21VydFLVH3TRQUabQu_ym0Zz7PgGX0-kHA/edit?usp=sharing"",""แผน!AL87"")"),0)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IFERROR(__xludf.DUMMYFUNCTION("IMPORTRANGE(""https://docs.google.com/spreadsheets/d/1QqKyyYR6Q21VydFLVH3TRQUabQu_ym0Zz7PgGX0-kHA/edit?usp=sharing"",""แผน!AM87"")"),0)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IFERROR(__xludf.DUMMYFUNCTION("IMPORTRANGE(""https://docs.google.com/spreadsheets/d/1QqKyyYR6Q21VydFLVH3TRQUabQu_ym0Zz7PgGX0-kHA/edit?usp=sharing"",""แผน!AN87"")"),0)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IFERROR(__xludf.DUMMYFUNCTION("IMPORTRANGE(""https://docs.google.com/spreadsheets/d/1QqKyyYR6Q21VydFLVH3TRQUabQu_ym0Zz7PgGX0-kHA/edit?usp=sharing"",""แผน!AN87"")"),0)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6400</v>
      </c>
      <c r="J216" s="260">
        <f t="shared" si="103"/>
        <v>6400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6200</v>
      </c>
      <c r="M217" s="154"/>
      <c r="N217" s="154">
        <f>N218+N219+N220</f>
        <v>3585</v>
      </c>
      <c r="O217" s="154">
        <f ca="1">IF(L217&gt;0,N217*100/L217,0)</f>
        <v>57.822580645161288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IFERROR(__xludf.DUMMYFUNCTION("IMPORTRANGE(""https://docs.google.com/spreadsheets/d/1QqKyyYR6Q21VydFLVH3TRQUabQu_ym0Zz7PgGX0-kHA/edit?usp=sharing"",""แผน!AP87"")"),3000)</f>
        <v>3000</v>
      </c>
      <c r="M218" s="38"/>
      <c r="N218" s="270">
        <v>3000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IFERROR(__xludf.DUMMYFUNCTION("IMPORTRANGE(""https://docs.google.com/spreadsheets/d/1QqKyyYR6Q21VydFLVH3TRQUabQu_ym0Zz7PgGX0-kHA/edit?usp=sharing"",""แผน!AQ87"")"),3200)</f>
        <v>3200</v>
      </c>
      <c r="M219" s="38"/>
      <c r="N219" s="270">
        <v>585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IFERROR(__xludf.DUMMYFUNCTION("IMPORTRANGE(""https://docs.google.com/spreadsheets/d/1QqKyyYR6Q21VydFLVH3TRQUabQu_ym0Zz7PgGX0-kHA/edit?usp=sharing"",""แผน!AR87"")"),0)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IFERROR(__xludf.DUMMYFUNCTION("IMPORTRANGE(""https://docs.google.com/spreadsheets/d/1QqKyyYR6Q21VydFLVH3TRQUabQu_ym0Zz7PgGX0-kHA/edit?usp=sharing"",""แผน!AT87"")"),6400)</f>
        <v>6400</v>
      </c>
      <c r="J223" s="181">
        <v>6400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IFERROR(__xludf.DUMMYFUNCTION("IMPORTRANGE(""https://docs.google.com/spreadsheets/d/1QqKyyYR6Q21VydFLVH3TRQUabQu_ym0Zz7PgGX0-kHA/edit?usp=sharing"",""แผน!AT87"")"),6400)</f>
        <v>6400</v>
      </c>
      <c r="J224" s="181">
        <v>6400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IFERROR(__xludf.DUMMYFUNCTION("IMPORTRANGE(""https://docs.google.com/spreadsheets/d/1QqKyyYR6Q21VydFLVH3TRQUabQu_ym0Zz7PgGX0-kHA/edit?usp=sharing"",""แผน!AS87"")"),0)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IFERROR(__xludf.DUMMYFUNCTION("IMPORTRANGE(""https://docs.google.com/spreadsheets/d/1QqKyyYR6Q21VydFLVH3TRQUabQu_ym0Zz7PgGX0-kHA/edit?usp=sharing"",""แผน!AV87"")"),0)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IFERROR(__xludf.DUMMYFUNCTION("IMPORTRANGE(""https://docs.google.com/spreadsheets/d/1QqKyyYR6Q21VydFLVH3TRQUabQu_ym0Zz7PgGX0-kHA/edit?usp=sharing"",""แผน!AW87"")"),0)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IFERROR(__xludf.DUMMYFUNCTION("IMPORTRANGE(""https://docs.google.com/spreadsheets/d/1QqKyyYR6Q21VydFLVH3TRQUabQu_ym0Zz7PgGX0-kHA/edit?usp=sharing"",""แผน!AX87"")"),0)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IFERROR(__xludf.DUMMYFUNCTION("IMPORTRANGE(""https://docs.google.com/spreadsheets/d/1QqKyyYR6Q21VydFLVH3TRQUabQu_ym0Zz7PgGX0-kHA/edit?usp=sharing"",""แผน!AY87"")"),0)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IFERROR(__xludf.DUMMYFUNCTION("IMPORTRANGE(""https://docs.google.com/spreadsheets/d/1QqKyyYR6Q21VydFLVH3TRQUabQu_ym0Zz7PgGX0-kHA/edit?usp=sharing"",""แผน!BE87"")"),0)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IFERROR(__xludf.DUMMYFUNCTION("IMPORTRANGE(""https://docs.google.com/spreadsheets/d/1QqKyyYR6Q21VydFLVH3TRQUabQu_ym0Zz7PgGX0-kHA/edit?usp=sharing"",""แผน!AZ87"")"),0)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IFERROR(__xludf.DUMMYFUNCTION("IMPORTRANGE(""https://docs.google.com/spreadsheets/d/1QqKyyYR6Q21VydFLVH3TRQUabQu_ym0Zz7PgGX0-kHA/edit?usp=sharing"",""แผน!BA87"")"),0)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IFERROR(__xludf.DUMMYFUNCTION("IMPORTRANGE(""https://docs.google.com/spreadsheets/d/1QqKyyYR6Q21VydFLVH3TRQUabQu_ym0Zz7PgGX0-kHA/edit?usp=sharing"",""แผน!BB87"")"),0)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IFERROR(__xludf.DUMMYFUNCTION("IMPORTRANGE(""https://docs.google.com/spreadsheets/d/1QqKyyYR6Q21VydFLVH3TRQUabQu_ym0Zz7PgGX0-kHA/edit?usp=sharing"",""แผน!BC87"")"),0)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IFERROR(__xludf.DUMMYFUNCTION("IMPORTRANGE(""https://docs.google.com/spreadsheets/d/1QqKyyYR6Q21VydFLVH3TRQUabQu_ym0Zz7PgGX0-kHA/edit?usp=sharing"",""แผน!BF87"")"),0)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20</v>
      </c>
      <c r="J260" s="242">
        <f t="shared" si="115"/>
        <v>20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25000</v>
      </c>
      <c r="M261" s="154">
        <f t="shared" ca="1" si="116"/>
        <v>25000</v>
      </c>
      <c r="N261" s="154">
        <f t="shared" ca="1" si="116"/>
        <v>9880</v>
      </c>
      <c r="O261" s="154">
        <f t="shared" ref="O261:O269" ca="1" si="117">IF(L261&gt;0,N261*100/L261,0)</f>
        <v>39.520000000000003</v>
      </c>
      <c r="P261" s="154">
        <f t="shared" ref="P261:P269" ca="1" si="118">IF(M261&gt;0,N261*100/M261,0)</f>
        <v>39.520000000000003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25000</v>
      </c>
      <c r="M263" s="45">
        <f t="shared" ca="1" si="119"/>
        <v>25000</v>
      </c>
      <c r="N263" s="45">
        <f t="shared" ca="1" si="119"/>
        <v>9880</v>
      </c>
      <c r="O263" s="45">
        <f t="shared" ca="1" si="117"/>
        <v>39.520000000000003</v>
      </c>
      <c r="P263" s="45">
        <f t="shared" ca="1" si="118"/>
        <v>39.520000000000003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25000</v>
      </c>
      <c r="M264" s="38">
        <f t="shared" ca="1" si="120"/>
        <v>25000</v>
      </c>
      <c r="N264" s="38">
        <f t="shared" ca="1" si="120"/>
        <v>9880</v>
      </c>
      <c r="O264" s="38">
        <f t="shared" ca="1" si="117"/>
        <v>39.520000000000003</v>
      </c>
      <c r="P264" s="38">
        <f t="shared" ca="1" si="118"/>
        <v>39.520000000000003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IFERROR(__xludf.DUMMYFUNCTION("IMPORTRANGE(""https://docs.google.com/spreadsheets/d/1MeEWN-I1oV_STSDYn1IFDPWt_1FKiwhDph83XaGc0o0/edit?usp=sharing"",""งบพรบ!CY87"")"),25000)</f>
        <v>25000</v>
      </c>
      <c r="M266" s="45">
        <f ca="1">IFERROR(__xludf.DUMMYFUNCTION("IMPORTRANGE(""https://docs.google.com/spreadsheets/d/1MeEWN-I1oV_STSDYn1IFDPWt_1FKiwhDph83XaGc0o0/edit?usp=sharing"",""งบพรบ!DD87"")"),25000)</f>
        <v>25000</v>
      </c>
      <c r="N266" s="45">
        <f ca="1">IFERROR(__xludf.DUMMYFUNCTION("IMPORTRANGE(""https://docs.google.com/spreadsheets/d/1MeEWN-I1oV_STSDYn1IFDPWt_1FKiwhDph83XaGc0o0/edit?usp=sharing"",""งบพรบ!DF87"")"),9880)</f>
        <v>9880</v>
      </c>
      <c r="O266" s="45">
        <f t="shared" ca="1" si="117"/>
        <v>39.520000000000003</v>
      </c>
      <c r="P266" s="45">
        <f t="shared" ca="1" si="118"/>
        <v>39.520000000000003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IFERROR(__xludf.DUMMYFUNCTION("IMPORTRANGE(""https://docs.google.com/spreadsheets/d/1MeEWN-I1oV_STSDYn1IFDPWt_1FKiwhDph83XaGc0o0/edit?usp=sharing"",""งบพรบ!DB87"")"),0)</f>
        <v>0</v>
      </c>
      <c r="M269" s="45">
        <f ca="1">IFERROR(__xludf.DUMMYFUNCTION("IMPORTRANGE(""https://docs.google.com/spreadsheets/d/1MeEWN-I1oV_STSDYn1IFDPWt_1FKiwhDph83XaGc0o0/edit?usp=sharing"",""งบพรบ!DE87"")"),0)</f>
        <v>0</v>
      </c>
      <c r="N269" s="45">
        <f ca="1">IFERROR(__xludf.DUMMYFUNCTION("IMPORTRANGE(""https://docs.google.com/spreadsheets/d/1MeEWN-I1oV_STSDYn1IFDPWt_1FKiwhDph83XaGc0o0/edit?usp=sharing"",""งบพรบ!DG87"")"),0)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IFERROR(__xludf.DUMMYFUNCTION("IMPORTRANGE(""https://docs.google.com/spreadsheets/d/1QqKyyYR6Q21VydFLVH3TRQUabQu_ym0Zz7PgGX0-kHA/edit?usp=sharing"",""แผน!EA87"")"),20)</f>
        <v>20</v>
      </c>
      <c r="J271" s="181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4">I287</f>
        <v>0</v>
      </c>
      <c r="J276" s="39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IFERROR(__xludf.DUMMYFUNCTION("IMPORTRANGE(""https://docs.google.com/spreadsheets/d/1MeEWN-I1oV_STSDYn1IFDPWt_1FKiwhDph83XaGc0o0/edit?usp=sharing"",""งบพรบ!DI87"")"),0)</f>
        <v>0</v>
      </c>
      <c r="M282" s="45">
        <f ca="1">IFERROR(__xludf.DUMMYFUNCTION("IMPORTRANGE(""https://docs.google.com/spreadsheets/d/1MeEWN-I1oV_STSDYn1IFDPWt_1FKiwhDph83XaGc0o0/edit?usp=sharing"",""งบพรบ!DN87"")"),0)</f>
        <v>0</v>
      </c>
      <c r="N282" s="45">
        <f ca="1">IFERROR(__xludf.DUMMYFUNCTION("IMPORTRANGE(""https://docs.google.com/spreadsheets/d/1MeEWN-I1oV_STSDYn1IFDPWt_1FKiwhDph83XaGc0o0/edit?usp=sharing"",""งบพรบ!DP87"")"),0)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IFERROR(__xludf.DUMMYFUNCTION("IMPORTRANGE(""https://docs.google.com/spreadsheets/d/1MeEWN-I1oV_STSDYn1IFDPWt_1FKiwhDph83XaGc0o0/edit?usp=sharing"",""งบพรบ!DL87"")"),0)</f>
        <v>0</v>
      </c>
      <c r="M285" s="45">
        <f ca="1">IFERROR(__xludf.DUMMYFUNCTION("IMPORTRANGE(""https://docs.google.com/spreadsheets/d/1MeEWN-I1oV_STSDYn1IFDPWt_1FKiwhDph83XaGc0o0/edit?usp=sharing"",""งบพรบ!DO87"")"),0)</f>
        <v>0</v>
      </c>
      <c r="N285" s="45">
        <f ca="1">IFERROR(__xludf.DUMMYFUNCTION("IMPORTRANGE(""https://docs.google.com/spreadsheets/d/1MeEWN-I1oV_STSDYn1IFDPWt_1FKiwhDph83XaGc0o0/edit?usp=sharing"",""งบพรบ!DQ87"")"),0)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IFERROR(__xludf.DUMMYFUNCTION("IMPORTRANGE(""https://docs.google.com/spreadsheets/d/1QqKyyYR6Q21VydFLVH3TRQUabQu_ym0Zz7PgGX0-kHA/edit?usp=sharing"",""แผน!EC87"")"),0)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IFERROR(__xludf.DUMMYFUNCTION("IMPORTRANGE(""https://docs.google.com/spreadsheets/d/1QqKyyYR6Q21VydFLVH3TRQUabQu_ym0Zz7PgGX0-kHA/edit?usp=sharing"",""แผน!EB87"")"),0)</f>
        <v>0</v>
      </c>
      <c r="J288" s="190">
        <f ca="1">IF(AND(J291&gt;=I288,J294&gt;=I288),J294,0)</f>
        <v>0</v>
      </c>
      <c r="K288" s="391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IFERROR(__xludf.DUMMYFUNCTION("IMPORTRANGE(""https://docs.google.com/spreadsheets/d/1QqKyyYR6Q21VydFLVH3TRQUabQu_ym0Zz7PgGX0-kHA/edit?usp=sharing"",""แผน!EB87"")"),0)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337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IFERROR(__xludf.DUMMYFUNCTION("IMPORTRANGE(""https://docs.google.com/spreadsheets/d/1QqKyyYR6Q21VydFLVH3TRQUabQu_ym0Zz7PgGX0-kHA/edit?usp=sharing"",""แผน!EB87"")"),0)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IFERROR(__xludf.DUMMYFUNCTION("IMPORTRANGE(""https://docs.google.com/spreadsheets/d/1QqKyyYR6Q21VydFLVH3TRQUabQu_ym0Zz7PgGX0-kHA/edit?usp=sharing"",""แผน!EB87"")"),0)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9" t="s">
        <v>337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IFERROR(__xludf.DUMMYFUNCTION("IMPORTRANGE(""https://docs.google.com/spreadsheets/d/1QqKyyYR6Q21VydFLVH3TRQUabQu_ym0Zz7PgGX0-kHA/edit?usp=sharing"",""แผน!EB87"")"),0)</f>
        <v>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IFERROR(__xludf.DUMMYFUNCTION("IMPORTRANGE(""https://docs.google.com/spreadsheets/d/1MeEWN-I1oV_STSDYn1IFDPWt_1FKiwhDph83XaGc0o0/edit?usp=sharing"",""งบพรบ!DS87"")"),0)</f>
        <v>0</v>
      </c>
      <c r="M303" s="45">
        <f ca="1">IFERROR(__xludf.DUMMYFUNCTION("IMPORTRANGE(""https://docs.google.com/spreadsheets/d/1MeEWN-I1oV_STSDYn1IFDPWt_1FKiwhDph83XaGc0o0/edit?usp=sharing"",""งบพรบ!DX87"")"),0)</f>
        <v>0</v>
      </c>
      <c r="N303" s="45">
        <f ca="1">IFERROR(__xludf.DUMMYFUNCTION("IMPORTRANGE(""https://docs.google.com/spreadsheets/d/1MeEWN-I1oV_STSDYn1IFDPWt_1FKiwhDph83XaGc0o0/edit?usp=sharing"",""งบพรบ!DZ87"")"),0)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IFERROR(__xludf.DUMMYFUNCTION("IMPORTRANGE(""https://docs.google.com/spreadsheets/d/1MeEWN-I1oV_STSDYn1IFDPWt_1FKiwhDph83XaGc0o0/edit?usp=sharing"",""งบพรบ!DV87"")"),0)</f>
        <v>0</v>
      </c>
      <c r="M306" s="45">
        <f ca="1">IFERROR(__xludf.DUMMYFUNCTION("IMPORTRANGE(""https://docs.google.com/spreadsheets/d/1MeEWN-I1oV_STSDYn1IFDPWt_1FKiwhDph83XaGc0o0/edit?usp=sharing"",""งบพรบ!DY87"")"),0)</f>
        <v>0</v>
      </c>
      <c r="N306" s="45">
        <f ca="1">IFERROR(__xludf.DUMMYFUNCTION("IMPORTRANGE(""https://docs.google.com/spreadsheets/d/1MeEWN-I1oV_STSDYn1IFDPWt_1FKiwhDph83XaGc0o0/edit?usp=sharing"",""งบพรบ!EA87"")"),0)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IFERROR(__xludf.DUMMYFUNCTION("IMPORTRANGE(""https://docs.google.com/spreadsheets/d/1QqKyyYR6Q21VydFLVH3TRQUabQu_ym0Zz7PgGX0-kHA/edit?usp=sharing"",""แผน!ED87"")"),0)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IFERROR(__xludf.DUMMYFUNCTION("IMPORTRANGE(""https://docs.google.com/spreadsheets/d/1QqKyyYR6Q21VydFLVH3TRQUabQu_ym0Zz7PgGX0-kHA/edit?usp=sharing"",""แผน!ED87"")"),0)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IFERROR(__xludf.DUMMYFUNCTION("IMPORTRANGE(""https://docs.google.com/spreadsheets/d/1QqKyyYR6Q21VydFLVH3TRQUabQu_ym0Zz7PgGX0-kHA/edit?usp=sharing"",""แผน!ED87"")"),0)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IFERROR(__xludf.DUMMYFUNCTION("IMPORTRANGE(""https://docs.google.com/spreadsheets/d/1QqKyyYR6Q21VydFLVH3TRQUabQu_ym0Zz7PgGX0-kHA/edit?usp=sharing"",""แผน!EE87"")"),0)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IFERROR(__xludf.DUMMYFUNCTION("IMPORTRANGE(""https://docs.google.com/spreadsheets/d/1MeEWN-I1oV_STSDYn1IFDPWt_1FKiwhDph83XaGc0o0/edit?usp=sharing"",""งบพรบ!EC87"")"),0)</f>
        <v>0</v>
      </c>
      <c r="M320" s="45">
        <f ca="1">IFERROR(__xludf.DUMMYFUNCTION("IMPORTRANGE(""https://docs.google.com/spreadsheets/d/1MeEWN-I1oV_STSDYn1IFDPWt_1FKiwhDph83XaGc0o0/edit?usp=sharing"",""งบพรบ!EH87"")"),0)</f>
        <v>0</v>
      </c>
      <c r="N320" s="45">
        <f ca="1">IFERROR(__xludf.DUMMYFUNCTION("IMPORTRANGE(""https://docs.google.com/spreadsheets/d/1MeEWN-I1oV_STSDYn1IFDPWt_1FKiwhDph83XaGc0o0/edit?usp=sharing"",""งบพรบ!EJ87"")"),0)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IFERROR(__xludf.DUMMYFUNCTION("IMPORTRANGE(""https://docs.google.com/spreadsheets/d/1MeEWN-I1oV_STSDYn1IFDPWt_1FKiwhDph83XaGc0o0/edit?usp=sharing"",""งบพรบ!EF87"")"),0)</f>
        <v>0</v>
      </c>
      <c r="M323" s="45">
        <f ca="1">IFERROR(__xludf.DUMMYFUNCTION("IMPORTRANGE(""https://docs.google.com/spreadsheets/d/1MeEWN-I1oV_STSDYn1IFDPWt_1FKiwhDph83XaGc0o0/edit?usp=sharing"",""งบพรบ!EI87"")"),0)</f>
        <v>0</v>
      </c>
      <c r="N323" s="45">
        <f ca="1">IFERROR(__xludf.DUMMYFUNCTION("IMPORTRANGE(""https://docs.google.com/spreadsheets/d/1MeEWN-I1oV_STSDYn1IFDPWt_1FKiwhDph83XaGc0o0/edit?usp=sharing"",""งบพรบ!EK87"")"),0)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IFERROR(__xludf.DUMMYFUNCTION("IMPORTRANGE(""https://docs.google.com/spreadsheets/d/1QqKyyYR6Q21VydFLVH3TRQUabQu_ym0Zz7PgGX0-kHA/edit?usp=sharing"",""แผน!EF87"")"),0)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IFERROR(__xludf.DUMMYFUNCTION("IMPORTRANGE(""https://docs.google.com/spreadsheets/d/1QqKyyYR6Q21VydFLVH3TRQUabQu_ym0Zz7PgGX0-kHA/edit?usp=sharing"",""แผน!EG87"")"),200)</f>
        <v>200</v>
      </c>
      <c r="J327" s="421">
        <f ca="1">J338+J341+J342+J343</f>
        <v>550</v>
      </c>
      <c r="K327" s="422">
        <f ca="1">IF(I327&gt;0,J327*100/I327,0)</f>
        <v>275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157000</v>
      </c>
      <c r="M328" s="154">
        <f t="shared" ca="1" si="149"/>
        <v>159500</v>
      </c>
      <c r="N328" s="154">
        <f t="shared" ca="1" si="149"/>
        <v>117093</v>
      </c>
      <c r="O328" s="154">
        <f t="shared" ref="O328:O336" ca="1" si="150">IF(L328&gt;0,N328*100/L328,0)</f>
        <v>74.581528662420382</v>
      </c>
      <c r="P328" s="154">
        <f t="shared" ref="P328:P336" ca="1" si="151">IF(M328&gt;0,N328*100/M328,0)</f>
        <v>73.412539184952976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157000</v>
      </c>
      <c r="M330" s="45">
        <f t="shared" ca="1" si="152"/>
        <v>159500</v>
      </c>
      <c r="N330" s="45">
        <f t="shared" ca="1" si="152"/>
        <v>117093</v>
      </c>
      <c r="O330" s="45">
        <f t="shared" ca="1" si="150"/>
        <v>74.581528662420382</v>
      </c>
      <c r="P330" s="45">
        <f t="shared" ca="1" si="151"/>
        <v>73.412539184952976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157000</v>
      </c>
      <c r="M331" s="38">
        <f t="shared" ca="1" si="153"/>
        <v>159500</v>
      </c>
      <c r="N331" s="38">
        <f t="shared" ca="1" si="153"/>
        <v>117093</v>
      </c>
      <c r="O331" s="38">
        <f t="shared" ca="1" si="150"/>
        <v>74.581528662420382</v>
      </c>
      <c r="P331" s="38">
        <f t="shared" ca="1" si="151"/>
        <v>73.412539184952976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IFERROR(__xludf.DUMMYFUNCTION("IMPORTRANGE(""https://docs.google.com/spreadsheets/d/1MeEWN-I1oV_STSDYn1IFDPWt_1FKiwhDph83XaGc0o0/edit?usp=sharing"",""งบพรบ!EM87"")"),157000)</f>
        <v>157000</v>
      </c>
      <c r="M333" s="45">
        <f ca="1">IFERROR(__xludf.DUMMYFUNCTION("IMPORTRANGE(""https://docs.google.com/spreadsheets/d/1MeEWN-I1oV_STSDYn1IFDPWt_1FKiwhDph83XaGc0o0/edit?usp=sharing"",""งบพรบ!ER87"")"),159500)</f>
        <v>159500</v>
      </c>
      <c r="N333" s="45">
        <f ca="1">IFERROR(__xludf.DUMMYFUNCTION("IMPORTRANGE(""https://docs.google.com/spreadsheets/d/1MeEWN-I1oV_STSDYn1IFDPWt_1FKiwhDph83XaGc0o0/edit?usp=sharing"",""งบพรบ!ET87"")"),117093)</f>
        <v>117093</v>
      </c>
      <c r="O333" s="45">
        <f t="shared" ca="1" si="150"/>
        <v>74.581528662420382</v>
      </c>
      <c r="P333" s="45">
        <f t="shared" ca="1" si="151"/>
        <v>73.412539184952976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IFERROR(__xludf.DUMMYFUNCTION("IMPORTRANGE(""https://docs.google.com/spreadsheets/d/1MeEWN-I1oV_STSDYn1IFDPWt_1FKiwhDph83XaGc0o0/edit?usp=sharing"",""งบพรบ!EP87"")"),0)</f>
        <v>0</v>
      </c>
      <c r="M336" s="45">
        <f ca="1">IFERROR(__xludf.DUMMYFUNCTION("IMPORTRANGE(""https://docs.google.com/spreadsheets/d/1MeEWN-I1oV_STSDYn1IFDPWt_1FKiwhDph83XaGc0o0/edit?usp=sharing"",""งบพรบ!ES87"")"),0)</f>
        <v>0</v>
      </c>
      <c r="N336" s="45">
        <f ca="1">IFERROR(__xludf.DUMMYFUNCTION("IMPORTRANGE(""https://docs.google.com/spreadsheets/d/1MeEWN-I1oV_STSDYn1IFDPWt_1FKiwhDph83XaGc0o0/edit?usp=sharing"",""งบพรบ!EU87"")"),0)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836">
        <f ca="1">IFERROR(__xludf.DUMMYFUNCTION("IMPORTRANGE(""https://docs.google.com/spreadsheets/d/1QqKyyYR6Q21VydFLVH3TRQUabQu_ym0Zz7PgGX0-kHA/edit?usp=sharing"",""แผน!EG87"")"),200)</f>
        <v>200</v>
      </c>
      <c r="J338" s="837">
        <f ca="1">IFERROR(__xludf.DUMMYFUNCTION("IMPORTRANGE(""https://docs.google.com/spreadsheets/d/1kVcqe37tkHyjCSG3S0O1AXqVkqjo8mSIZil3BcpIysc/edit?usp=sharing"",""ศูนย์!D87"")"),532)</f>
        <v>532</v>
      </c>
      <c r="K338" s="838">
        <f ca="1">IF(I338&gt;0,J338*100/I338,0)</f>
        <v>266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839"/>
      <c r="J339" s="840"/>
      <c r="K339" s="841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842">
        <f ca="1">IFERROR(__xludf.DUMMYFUNCTION("IMPORTRANGE(""https://docs.google.com/spreadsheets/d/1QqKyyYR6Q21VydFLVH3TRQUabQu_ym0Zz7PgGX0-kHA/edit?usp=sharing"",""แผน!EH87"")"),2)</f>
        <v>2</v>
      </c>
      <c r="J340" s="843">
        <f ca="1">IFERROR(__xludf.DUMMYFUNCTION("IMPORTRANGE(""https://docs.google.com/spreadsheets/d/1kVcqe37tkHyjCSG3S0O1AXqVkqjo8mSIZil3BcpIysc/edit?usp=sharing"",""ศูนย์!E87"")"),2)</f>
        <v>2</v>
      </c>
      <c r="K340" s="844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839"/>
      <c r="J341" s="843">
        <f ca="1">IFERROR(__xludf.DUMMYFUNCTION("IMPORTRANGE(""https://docs.google.com/spreadsheets/d/1kVcqe37tkHyjCSG3S0O1AXqVkqjo8mSIZil3BcpIysc/edit?usp=sharing"",""ศูนย์!F87"")"),18)</f>
        <v>18</v>
      </c>
      <c r="K341" s="841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839"/>
      <c r="J342" s="843">
        <f ca="1">IFERROR(__xludf.DUMMYFUNCTION("IMPORTRANGE(""https://docs.google.com/spreadsheets/d/1kVcqe37tkHyjCSG3S0O1AXqVkqjo8mSIZil3BcpIysc/edit?usp=sharing"",""ศูนย์!G87"")"),0)</f>
        <v>0</v>
      </c>
      <c r="K342" s="841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839"/>
      <c r="J343" s="843">
        <f ca="1">IFERROR(__xludf.DUMMYFUNCTION("IMPORTRANGE(""https://docs.google.com/spreadsheets/d/1kVcqe37tkHyjCSG3S0O1AXqVkqjo8mSIZil3BcpIysc/edit?usp=sharing"",""ศูนย์!H87"")"),0)</f>
        <v>0</v>
      </c>
      <c r="K343" s="841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518480</v>
      </c>
      <c r="M345" s="154">
        <f t="shared" ca="1" si="155"/>
        <v>659380</v>
      </c>
      <c r="N345" s="154">
        <f t="shared" ca="1" si="155"/>
        <v>491361.95</v>
      </c>
      <c r="O345" s="154">
        <f t="shared" ref="O345:O353" ca="1" si="156">IF(L345&gt;0,N345*100/L345,0)</f>
        <v>94.769701820706686</v>
      </c>
      <c r="P345" s="154">
        <f t="shared" ref="P345:P353" ca="1" si="157">IF(M345&gt;0,N345*100/M345,0)</f>
        <v>74.518782795959837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518480</v>
      </c>
      <c r="M347" s="45">
        <f t="shared" ca="1" si="158"/>
        <v>659380</v>
      </c>
      <c r="N347" s="45">
        <f t="shared" ca="1" si="158"/>
        <v>491361.95</v>
      </c>
      <c r="O347" s="45">
        <f t="shared" ca="1" si="156"/>
        <v>94.769701820706686</v>
      </c>
      <c r="P347" s="45">
        <f t="shared" ca="1" si="157"/>
        <v>74.518782795959837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442480</v>
      </c>
      <c r="M348" s="38">
        <f t="shared" ca="1" si="159"/>
        <v>583380</v>
      </c>
      <c r="N348" s="38">
        <f t="shared" ca="1" si="159"/>
        <v>415361.95</v>
      </c>
      <c r="O348" s="38">
        <f t="shared" ca="1" si="156"/>
        <v>93.871350117519441</v>
      </c>
      <c r="P348" s="38">
        <f t="shared" ca="1" si="157"/>
        <v>71.199209777503512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IFERROR(__xludf.DUMMYFUNCTION("IMPORTRANGE(""https://docs.google.com/spreadsheets/d/1MeEWN-I1oV_STSDYn1IFDPWt_1FKiwhDph83XaGc0o0/edit?usp=sharing"",""งบพรบ!EW87"")"),442480)</f>
        <v>442480</v>
      </c>
      <c r="M350" s="45">
        <f ca="1">IFERROR(__xludf.DUMMYFUNCTION("IMPORTRANGE(""https://docs.google.com/spreadsheets/d/1MeEWN-I1oV_STSDYn1IFDPWt_1FKiwhDph83XaGc0o0/edit?usp=sharing"",""งบพรบ!FB87"")"),583380)</f>
        <v>583380</v>
      </c>
      <c r="N350" s="45">
        <f ca="1">IFERROR(__xludf.DUMMYFUNCTION("IMPORTRANGE(""https://docs.google.com/spreadsheets/d/1MeEWN-I1oV_STSDYn1IFDPWt_1FKiwhDph83XaGc0o0/edit?usp=sharing"",""งบพรบ!FD87"")"),415361.95)</f>
        <v>415361.95</v>
      </c>
      <c r="O350" s="45">
        <f t="shared" ca="1" si="156"/>
        <v>93.871350117519441</v>
      </c>
      <c r="P350" s="45">
        <f t="shared" ca="1" si="157"/>
        <v>71.199209777503512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76000</v>
      </c>
      <c r="M351" s="38">
        <f t="shared" ca="1" si="160"/>
        <v>76000</v>
      </c>
      <c r="N351" s="38">
        <f t="shared" ca="1" si="160"/>
        <v>76000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IFERROR(__xludf.DUMMYFUNCTION("IMPORTRANGE(""https://docs.google.com/spreadsheets/d/1MeEWN-I1oV_STSDYn1IFDPWt_1FKiwhDph83XaGc0o0/edit?usp=sharing"",""งบพรบ!EZ87"")"),76000)</f>
        <v>76000</v>
      </c>
      <c r="M353" s="45">
        <f ca="1">IFERROR(__xludf.DUMMYFUNCTION("IMPORTRANGE(""https://docs.google.com/spreadsheets/d/1MeEWN-I1oV_STSDYn1IFDPWt_1FKiwhDph83XaGc0o0/edit?usp=sharing"",""งบพรบ!FC87"")"),76000)</f>
        <v>76000</v>
      </c>
      <c r="N353" s="45">
        <f ca="1">IFERROR(__xludf.DUMMYFUNCTION("IMPORTRANGE(""https://docs.google.com/spreadsheets/d/1MeEWN-I1oV_STSDYn1IFDPWt_1FKiwhDph83XaGc0o0/edit?usp=sharing"",""งบพรบ!FE87"")"),76000)</f>
        <v>76000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IFERROR(__xludf.DUMMYFUNCTION("IMPORTRANGE(""https://docs.google.com/spreadsheets/d/1QqKyyYR6Q21VydFLVH3TRQUabQu_ym0Zz7PgGX0-kHA/edit?usp=sharing"",""แผน!EP87"")"),59)</f>
        <v>59</v>
      </c>
      <c r="J355" s="438">
        <f ca="1">J362</f>
        <v>51</v>
      </c>
      <c r="K355" s="439">
        <f ca="1">IF(I355&gt;0,J355*100/I355,0)</f>
        <v>86.440677966101688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IFERROR(__xludf.DUMMYFUNCTION("IMPORTRANGE(""https://docs.google.com/spreadsheets/d/1XWAQStnk-4SwqDmLtmXYiTMKHgktTP8We1SCoS47DrQ/edit?usp=sharing"",""จัดที่ดิน!W87"")"),75)</f>
        <v>75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IFERROR(__xludf.DUMMYFUNCTION("IMPORTRANGE(""https://docs.google.com/spreadsheets/d/1QqKyyYR6Q21VydFLVH3TRQUabQu_ym0Zz7PgGX0-kHA/edit?usp=sharing"",""แผน!EO87"")"),379)</f>
        <v>379</v>
      </c>
      <c r="J359" s="37">
        <f ca="1">IFERROR(__xludf.DUMMYFUNCTION("IMPORTRANGE(""https://docs.google.com/spreadsheets/d/1XWAQStnk-4SwqDmLtmXYiTMKHgktTP8We1SCoS47DrQ/edit?usp=sharing"",""จัดที่ดิน!X87"")"),384.909999999999)</f>
        <v>384.909999999999</v>
      </c>
      <c r="K359" s="38">
        <f t="shared" ca="1" si="161"/>
        <v>101.55936675461714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IFERROR(__xludf.DUMMYFUNCTION("IMPORTRANGE(""https://docs.google.com/spreadsheets/d/1QqKyyYR6Q21VydFLVH3TRQUabQu_ym0Zz7PgGX0-kHA/edit?usp=sharing"",""แผน!EP87"")"),59)</f>
        <v>59</v>
      </c>
      <c r="J360" s="37">
        <f ca="1">IFERROR(__xludf.DUMMYFUNCTION("IMPORTRANGE(""https://docs.google.com/spreadsheets/d/1XWAQStnk-4SwqDmLtmXYiTMKHgktTP8We1SCoS47DrQ/edit?usp=sharing"",""จัดที่ดิน!Y87"")"),76)</f>
        <v>76</v>
      </c>
      <c r="K360" s="38">
        <f t="shared" ca="1" si="161"/>
        <v>128.81355932203391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IFERROR(__xludf.DUMMYFUNCTION("IMPORTRANGE(""https://docs.google.com/spreadsheets/d/1XWAQStnk-4SwqDmLtmXYiTMKHgktTP8We1SCoS47DrQ/edit?usp=sharing"",""จัดที่ดิน!Z87"")"),391.95)</f>
        <v>391.95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IFERROR(__xludf.DUMMYFUNCTION("IMPORTRANGE(""https://docs.google.com/spreadsheets/d/1QqKyyYR6Q21VydFLVH3TRQUabQu_ym0Zz7PgGX0-kHA/edit?usp=sharing"",""แผน!EP87"")"),59)</f>
        <v>59</v>
      </c>
      <c r="J362" s="37">
        <f ca="1">IFERROR(__xludf.DUMMYFUNCTION("IMPORTRANGE(""https://docs.google.com/spreadsheets/d/1XWAQStnk-4SwqDmLtmXYiTMKHgktTP8We1SCoS47DrQ/edit?usp=sharing"",""จัดที่ดิน!AA87"")"),51)</f>
        <v>51</v>
      </c>
      <c r="K362" s="38">
        <f t="shared" ca="1" si="161"/>
        <v>86.440677966101688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IFERROR(__xludf.DUMMYFUNCTION("IMPORTRANGE(""https://docs.google.com/spreadsheets/d/1XWAQStnk-4SwqDmLtmXYiTMKHgktTP8We1SCoS47DrQ/edit?usp=sharing"",""จัดที่ดิน!AB87"")"),254.3)</f>
        <v>254.3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75</v>
      </c>
      <c r="J364" s="452">
        <f t="shared" ca="1" si="162"/>
        <v>70</v>
      </c>
      <c r="K364" s="453">
        <f t="shared" ca="1" si="161"/>
        <v>93.333333333333329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IFERROR(__xludf.DUMMYFUNCTION("IMPORTRANGE(""https://docs.google.com/spreadsheets/d/1QqKyyYR6Q21VydFLVH3TRQUabQu_ym0Zz7PgGX0-kHA/edit?usp=sharing"",""แผน!EJ87"")"),35)</f>
        <v>35</v>
      </c>
      <c r="J365" s="462">
        <f ca="1">J372</f>
        <v>31</v>
      </c>
      <c r="K365" s="463">
        <f t="shared" ca="1" si="161"/>
        <v>88.571428571428569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IFERROR(__xludf.DUMMYFUNCTION("IMPORTRANGE(""https://docs.google.com/spreadsheets/d/1XWAQStnk-4SwqDmLtmXYiTMKHgktTP8We1SCoS47DrQ/edit?usp=sharing"",""จัดที่ดิน!E87"")"),47)</f>
        <v>47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IFERROR(__xludf.DUMMYFUNCTION("IMPORTRANGE(""https://docs.google.com/spreadsheets/d/1QqKyyYR6Q21VydFLVH3TRQUabQu_ym0Zz7PgGX0-kHA/edit?usp=sharing"",""แผน!EI87"")"),200)</f>
        <v>200</v>
      </c>
      <c r="J369" s="37">
        <f ca="1">IFERROR(__xludf.DUMMYFUNCTION("IMPORTRANGE(""https://docs.google.com/spreadsheets/d/1XWAQStnk-4SwqDmLtmXYiTMKHgktTP8We1SCoS47DrQ/edit?usp=sharing"",""จัดที่ดิน!F87"")"),203.56)</f>
        <v>203.56</v>
      </c>
      <c r="K369" s="38">
        <f t="shared" ca="1" si="163"/>
        <v>101.78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IFERROR(__xludf.DUMMYFUNCTION("IMPORTRANGE(""https://docs.google.com/spreadsheets/d/1QqKyyYR6Q21VydFLVH3TRQUabQu_ym0Zz7PgGX0-kHA/edit?usp=sharing"",""แผน!EJ87"")"),35)</f>
        <v>35</v>
      </c>
      <c r="J370" s="37">
        <f ca="1">IFERROR(__xludf.DUMMYFUNCTION("IMPORTRANGE(""https://docs.google.com/spreadsheets/d/1XWAQStnk-4SwqDmLtmXYiTMKHgktTP8We1SCoS47DrQ/edit?usp=sharing"",""จัดที่ดิน!G87"")"),48)</f>
        <v>48</v>
      </c>
      <c r="K370" s="38">
        <f t="shared" ca="1" si="163"/>
        <v>137.14285714285714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IFERROR(__xludf.DUMMYFUNCTION("IMPORTRANGE(""https://docs.google.com/spreadsheets/d/1XWAQStnk-4SwqDmLtmXYiTMKHgktTP8We1SCoS47DrQ/edit?usp=sharing"",""จัดที่ดิน!H87"")"),210.6)</f>
        <v>210.6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IFERROR(__xludf.DUMMYFUNCTION("IMPORTRANGE(""https://docs.google.com/spreadsheets/d/1QqKyyYR6Q21VydFLVH3TRQUabQu_ym0Zz7PgGX0-kHA/edit?usp=sharing"",""แผน!EJ87"")"),35)</f>
        <v>35</v>
      </c>
      <c r="J372" s="37">
        <f ca="1">IFERROR(__xludf.DUMMYFUNCTION("IMPORTRANGE(""https://docs.google.com/spreadsheets/d/1XWAQStnk-4SwqDmLtmXYiTMKHgktTP8We1SCoS47DrQ/edit?usp=sharing"",""จัดที่ดิน!I87"")"),31)</f>
        <v>31</v>
      </c>
      <c r="K372" s="38">
        <f t="shared" ca="1" si="163"/>
        <v>88.571428571428569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IFERROR(__xludf.DUMMYFUNCTION("IMPORTRANGE(""https://docs.google.com/spreadsheets/d/1XWAQStnk-4SwqDmLtmXYiTMKHgktTP8We1SCoS47DrQ/edit?usp=sharing"",""จัดที่ดิน!J87"")"),104.36)</f>
        <v>104.36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IFERROR(__xludf.DUMMYFUNCTION("IMPORTRANGE(""https://docs.google.com/spreadsheets/d/1QqKyyYR6Q21VydFLVH3TRQUabQu_ym0Zz7PgGX0-kHA/edit?usp=sharing"",""แผน!EU87"")"),40)</f>
        <v>40</v>
      </c>
      <c r="J374" s="462">
        <f ca="1">J381</f>
        <v>39</v>
      </c>
      <c r="K374" s="463">
        <f t="shared" ca="1" si="163"/>
        <v>97.5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IFERROR(__xludf.DUMMYFUNCTION("IMPORTRANGE(""https://docs.google.com/spreadsheets/d/1XWAQStnk-4SwqDmLtmXYiTMKHgktTP8We1SCoS47DrQ/edit?usp=sharing"",""จัดที่ดิน!AH87"")"),28)</f>
        <v>28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IFERROR(__xludf.DUMMYFUNCTION("IMPORTRANGE(""https://docs.google.com/spreadsheets/d/1QqKyyYR6Q21VydFLVH3TRQUabQu_ym0Zz7PgGX0-kHA/edit?usp=sharing"",""แผน!ET87"")"),179)</f>
        <v>179</v>
      </c>
      <c r="J378" s="37">
        <f ca="1">IFERROR(__xludf.DUMMYFUNCTION("IMPORTRANGE(""https://docs.google.com/spreadsheets/d/1XWAQStnk-4SwqDmLtmXYiTMKHgktTP8We1SCoS47DrQ/edit?usp=sharing"",""จัดที่ดิน!AI87"")"),181.35)</f>
        <v>181.35</v>
      </c>
      <c r="K378" s="38">
        <f t="shared" ca="1" si="164"/>
        <v>101.31284916201118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IFERROR(__xludf.DUMMYFUNCTION("IMPORTRANGE(""https://docs.google.com/spreadsheets/d/1QqKyyYR6Q21VydFLVH3TRQUabQu_ym0Zz7PgGX0-kHA/edit?usp=sharing"",""แผน!EU87"")"),40)</f>
        <v>40</v>
      </c>
      <c r="J379" s="37">
        <f ca="1">IFERROR(__xludf.DUMMYFUNCTION("IMPORTRANGE(""https://docs.google.com/spreadsheets/d/1XWAQStnk-4SwqDmLtmXYiTMKHgktTP8We1SCoS47DrQ/edit?usp=sharing"",""จัดที่ดิน!AJ87"")"),48)</f>
        <v>48</v>
      </c>
      <c r="K379" s="38">
        <f t="shared" ca="1" si="164"/>
        <v>120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IFERROR(__xludf.DUMMYFUNCTION("IMPORTRANGE(""https://docs.google.com/spreadsheets/d/1XWAQStnk-4SwqDmLtmXYiTMKHgktTP8We1SCoS47DrQ/edit?usp=sharing"",""จัดที่ดิน!AK87"")"),362.539999999999)</f>
        <v>362.539999999999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IFERROR(__xludf.DUMMYFUNCTION("IMPORTRANGE(""https://docs.google.com/spreadsheets/d/1QqKyyYR6Q21VydFLVH3TRQUabQu_ym0Zz7PgGX0-kHA/edit?usp=sharing"",""แผน!EU87"")"),40)</f>
        <v>40</v>
      </c>
      <c r="J381" s="37">
        <f ca="1">IFERROR(__xludf.DUMMYFUNCTION("IMPORTRANGE(""https://docs.google.com/spreadsheets/d/1XWAQStnk-4SwqDmLtmXYiTMKHgktTP8We1SCoS47DrQ/edit?usp=sharing"",""จัดที่ดิน!AL87"")"),39)</f>
        <v>39</v>
      </c>
      <c r="K381" s="38">
        <f t="shared" ca="1" si="164"/>
        <v>97.5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IFERROR(__xludf.DUMMYFUNCTION("IMPORTRANGE(""https://docs.google.com/spreadsheets/d/1XWAQStnk-4SwqDmLtmXYiTMKHgktTP8We1SCoS47DrQ/edit?usp=sharing"",""จัดที่ดิน!AM87"")"),328.71)</f>
        <v>328.71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IFERROR(__xludf.DUMMYFUNCTION("IMPORTRANGE(""https://docs.google.com/spreadsheets/d/1QqKyyYR6Q21VydFLVH3TRQUabQu_ym0Zz7PgGX0-kHA/edit?usp=sharing"",""แผน!EW87"")"),5)</f>
        <v>5</v>
      </c>
      <c r="J385" s="365">
        <f ca="1">IFERROR(__xludf.DUMMYFUNCTION("IMPORTRANGE(""https://docs.google.com/spreadsheets/d/1XWAQStnk-4SwqDmLtmXYiTMKHgktTP8We1SCoS47DrQ/edit?usp=sharing"",""จัดที่ดิน!AP87"")"),0)</f>
        <v>0</v>
      </c>
      <c r="K385" s="475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IFERROR(__xludf.DUMMYFUNCTION("IMPORTRANGE(""https://docs.google.com/spreadsheets/d/1MeEWN-I1oV_STSDYn1IFDPWt_1FKiwhDph83XaGc0o0/edit?usp=sharing"",""งบพรบ!FG87"")"),0)</f>
        <v>0</v>
      </c>
      <c r="M394" s="45">
        <f ca="1">IFERROR(__xludf.DUMMYFUNCTION("IMPORTRANGE(""https://docs.google.com/spreadsheets/d/1MeEWN-I1oV_STSDYn1IFDPWt_1FKiwhDph83XaGc0o0/edit?usp=sharing"",""งบพรบ!FL87"")"),0)</f>
        <v>0</v>
      </c>
      <c r="N394" s="45">
        <f ca="1">IFERROR(__xludf.DUMMYFUNCTION("IMPORTRANGE(""https://docs.google.com/spreadsheets/d/1MeEWN-I1oV_STSDYn1IFDPWt_1FKiwhDph83XaGc0o0/edit?usp=sharing"",""งบพรบ!FN87"")"),0)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IFERROR(__xludf.DUMMYFUNCTION("IMPORTRANGE(""https://docs.google.com/spreadsheets/d/1MeEWN-I1oV_STSDYn1IFDPWt_1FKiwhDph83XaGc0o0/edit?usp=sharing"",""งบพรบ!FJ87"")"),0)</f>
        <v>0</v>
      </c>
      <c r="M397" s="45">
        <f ca="1">IFERROR(__xludf.DUMMYFUNCTION("IMPORTRANGE(""https://docs.google.com/spreadsheets/d/1MeEWN-I1oV_STSDYn1IFDPWt_1FKiwhDph83XaGc0o0/edit?usp=sharing"",""งบพรบ!FM87"")"),0)</f>
        <v>0</v>
      </c>
      <c r="N397" s="45">
        <f ca="1">IFERROR(__xludf.DUMMYFUNCTION("IMPORTRANGE(""https://docs.google.com/spreadsheets/d/1MeEWN-I1oV_STSDYn1IFDPWt_1FKiwhDph83XaGc0o0/edit?usp=sharing"",""งบพรบ!FO87"")"),0)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0</v>
      </c>
      <c r="J401" s="495">
        <f t="shared" si="173"/>
        <v>0</v>
      </c>
      <c r="K401" s="496">
        <f t="shared" si="172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IFERROR(__xludf.DUMMYFUNCTION("IMPORTRANGE(""https://docs.google.com/spreadsheets/d/1MeEWN-I1oV_STSDYn1IFDPWt_1FKiwhDph83XaGc0o0/edit?usp=sharing"",""งบพรบ!FQ87"")"),0)</f>
        <v>0</v>
      </c>
      <c r="M407" s="45">
        <f ca="1">IFERROR(__xludf.DUMMYFUNCTION("IMPORTRANGE(""https://docs.google.com/spreadsheets/d/1MeEWN-I1oV_STSDYn1IFDPWt_1FKiwhDph83XaGc0o0/edit?usp=sharing"",""งบพรบ!FV87"")"),0)</f>
        <v>0</v>
      </c>
      <c r="N407" s="45">
        <f ca="1">IFERROR(__xludf.DUMMYFUNCTION("IMPORTRANGE(""https://docs.google.com/spreadsheets/d/1MeEWN-I1oV_STSDYn1IFDPWt_1FKiwhDph83XaGc0o0/edit?usp=sharing"",""งบพรบ!FX87"")"),0)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IFERROR(__xludf.DUMMYFUNCTION("IMPORTRANGE(""https://docs.google.com/spreadsheets/d/1MeEWN-I1oV_STSDYn1IFDPWt_1FKiwhDph83XaGc0o0/edit?usp=sharing"",""งบพรบ!FT87"")"),0)</f>
        <v>0</v>
      </c>
      <c r="M410" s="45">
        <f ca="1">IFERROR(__xludf.DUMMYFUNCTION("IMPORTRANGE(""https://docs.google.com/spreadsheets/d/1MeEWN-I1oV_STSDYn1IFDPWt_1FKiwhDph83XaGc0o0/edit?usp=sharing"",""งบพรบ!FW87"")"),0)</f>
        <v>0</v>
      </c>
      <c r="N410" s="45">
        <f ca="1">IFERROR(__xludf.DUMMYFUNCTION("IMPORTRANGE(""https://docs.google.com/spreadsheets/d/1MeEWN-I1oV_STSDYn1IFDPWt_1FKiwhDph83XaGc0o0/edit?usp=sharing"",""งบพรบ!FY87"")"),0)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80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447086</v>
      </c>
      <c r="M414" s="521">
        <f t="shared" ca="1" si="181"/>
        <v>447086</v>
      </c>
      <c r="N414" s="521">
        <f t="shared" si="181"/>
        <v>389476.3</v>
      </c>
      <c r="O414" s="521">
        <f ca="1">IF(L414&gt;0,N414*100/L414,0)</f>
        <v>87.114403045499074</v>
      </c>
      <c r="P414" s="521">
        <f ca="1">IF(M414&gt;0,N414*100/M414,0)</f>
        <v>87.114403045499074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15</v>
      </c>
      <c r="J417" s="536">
        <f t="shared" ca="1" si="182"/>
        <v>15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1</v>
      </c>
      <c r="J418" s="536">
        <f t="shared" si="182"/>
        <v>1</v>
      </c>
      <c r="K418" s="537">
        <f t="shared" ca="1" si="183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66560</v>
      </c>
      <c r="M419" s="154">
        <f t="shared" ca="1" si="184"/>
        <v>66560</v>
      </c>
      <c r="N419" s="154">
        <f t="shared" si="184"/>
        <v>59754</v>
      </c>
      <c r="O419" s="154">
        <f t="shared" ref="O419:O424" ca="1" si="185">IF(L419&gt;0,N419*100/L419,0)</f>
        <v>89.77463942307692</v>
      </c>
      <c r="P419" s="154">
        <f t="shared" ref="P419:P424" ca="1" si="186">IF(M419&gt;0,N419*100/M419,0)</f>
        <v>89.77463942307692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66560</v>
      </c>
      <c r="M421" s="45">
        <f t="shared" ca="1" si="187"/>
        <v>66560</v>
      </c>
      <c r="N421" s="45">
        <f t="shared" si="187"/>
        <v>59754</v>
      </c>
      <c r="O421" s="45">
        <f t="shared" ca="1" si="185"/>
        <v>89.77463942307692</v>
      </c>
      <c r="P421" s="45">
        <f t="shared" ca="1" si="186"/>
        <v>89.77463942307692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66560</v>
      </c>
      <c r="M422" s="38">
        <f t="shared" ca="1" si="188"/>
        <v>66560</v>
      </c>
      <c r="N422" s="38">
        <f t="shared" si="188"/>
        <v>59754</v>
      </c>
      <c r="O422" s="38">
        <f t="shared" ca="1" si="185"/>
        <v>89.77463942307692</v>
      </c>
      <c r="P422" s="38">
        <f t="shared" ca="1" si="186"/>
        <v>89.77463942307692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IFERROR(__xludf.DUMMYFUNCTION("IMPORTRANGE(""https://docs.google.com/spreadsheets/d/1QqKyyYR6Q21VydFLVH3TRQUabQu_ym0Zz7PgGX0-kHA/edit?usp=sharing"",""แผน!EY87"")"),66560)</f>
        <v>66560</v>
      </c>
      <c r="M424" s="45">
        <f ca="1">L424</f>
        <v>66560</v>
      </c>
      <c r="N424" s="45">
        <f>N425+N426+N427+N428</f>
        <v>59754</v>
      </c>
      <c r="O424" s="45">
        <f t="shared" ca="1" si="185"/>
        <v>89.77463942307692</v>
      </c>
      <c r="P424" s="45">
        <f t="shared" ca="1" si="186"/>
        <v>89.77463942307692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36300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5760+2000+13014+2680</f>
        <v>23454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IFERROR(__xludf.DUMMYFUNCTION("IMPORTRANGE(""https://docs.google.com/spreadsheets/d/1QqKyyYR6Q21VydFLVH3TRQUabQu_ym0Zz7PgGX0-kHA/edit?usp=sharing"",""แผน!FB87"")"),0)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IFERROR(__xludf.DUMMYFUNCTION("IMPORTRANGE(""https://docs.google.com/spreadsheets/d/1QqKyyYR6Q21VydFLVH3TRQUabQu_ym0Zz7PgGX0-kHA/edit?usp=sharing"",""แผน!FC87"")"),15)</f>
        <v>15</v>
      </c>
      <c r="J435" s="549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IFERROR(__xludf.DUMMYFUNCTION("IMPORTRANGE(""https://docs.google.com/spreadsheets/d/1QqKyyYR6Q21VydFLVH3TRQUabQu_ym0Zz7PgGX0-kHA/edit?usp=sharing"",""แผน!FD87"")"),0)</f>
        <v>0</v>
      </c>
      <c r="J437" s="549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IFERROR(__xludf.DUMMYFUNCTION("IMPORTRANGE(""https://docs.google.com/spreadsheets/d/1QqKyyYR6Q21VydFLVH3TRQUabQu_ym0Zz7PgGX0-kHA/edit?usp=sharing"",""แผน!FE87"")"),0)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IFERROR(__xludf.DUMMYFUNCTION("IMPORTRANGE(""https://docs.google.com/spreadsheets/d/1QqKyyYR6Q21VydFLVH3TRQUabQu_ym0Zz7PgGX0-kHA/edit?usp=sharing"",""แผน!FF87"")"),15)</f>
        <v>15</v>
      </c>
      <c r="J439" s="549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IFERROR(__xludf.DUMMYFUNCTION("IMPORTRANGE(""https://docs.google.com/spreadsheets/d/1QqKyyYR6Q21VydFLVH3TRQUabQu_ym0Zz7PgGX0-kHA/edit?usp=sharing"",""แผน!FG87"")"),1)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IFERROR(__xludf.DUMMYFUNCTION("IMPORTRANGE(""https://docs.google.com/spreadsheets/d/1QqKyyYR6Q21VydFLVH3TRQUabQu_ym0Zz7PgGX0-kHA/edit?usp=sharing"",""แผน!FH87"")"),0)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 hidden="1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0</v>
      </c>
      <c r="J443" s="536">
        <f t="shared" si="196"/>
        <v>0</v>
      </c>
      <c r="K443" s="537">
        <f t="shared" ca="1" si="194"/>
        <v>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 hidden="1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 hidden="1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IFERROR(__xludf.DUMMYFUNCTION("IMPORTRANGE(""https://docs.google.com/spreadsheets/d/1QqKyyYR6Q21VydFLVH3TRQUabQu_ym0Zz7PgGX0-kHA/edit?usp=sharing"",""แผน!FJ87"")"),0)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 hidden="1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 hidden="1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 hidden="1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 hidden="1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 hidden="1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IFERROR(__xludf.DUMMYFUNCTION("IMPORTRANGE(""https://docs.google.com/spreadsheets/d/1QqKyyYR6Q21VydFLVH3TRQUabQu_ym0Zz7PgGX0-kHA/edit?usp=sharing"",""แผน!FM87"")"),0)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 hidden="1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 hidden="1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IFERROR(__xludf.DUMMYFUNCTION("IMPORTRANGE(""https://docs.google.com/spreadsheets/d/1QqKyyYR6Q21VydFLVH3TRQUabQu_ym0Zz7PgGX0-kHA/edit?usp=sharing"",""แผน!FN87"")"),0)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 hidden="1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 hidden="1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IFERROR(__xludf.DUMMYFUNCTION("IMPORTRANGE(""https://docs.google.com/spreadsheets/d/1QqKyyYR6Q21VydFLVH3TRQUabQu_ym0Zz7PgGX0-kHA/edit?usp=sharing"",""แผน!FO87"")"),0)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 hidden="1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IFERROR(__xludf.DUMMYFUNCTION("IMPORTRANGE(""https://docs.google.com/spreadsheets/d/1QqKyyYR6Q21VydFLVH3TRQUabQu_ym0Zz7PgGX0-kHA/edit?usp=sharing"",""แผน!FO87"")"),0)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 hidden="1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IFERROR(__xludf.DUMMYFUNCTION("IMPORTRANGE(""https://docs.google.com/spreadsheets/d/1QqKyyYR6Q21VydFLVH3TRQUabQu_ym0Zz7PgGX0-kHA/edit?usp=sharing"",""แผน!FN87"")"),0)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IFERROR(__xludf.DUMMYFUNCTION("IMPORTRANGE(""https://docs.google.com/spreadsheets/d/1QqKyyYR6Q21VydFLVH3TRQUabQu_ym0Zz7PgGX0-kHA/edit?usp=sharing"",""แผน!FX87"")"),11)</f>
        <v>11</v>
      </c>
      <c r="J465" s="555">
        <f>J485+J489+J492</f>
        <v>17</v>
      </c>
      <c r="K465" s="556">
        <f t="shared" ref="K465:K466" ca="1" si="205">IF(I465&gt;0,J465*100/I465,0)</f>
        <v>154.54545454545453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IFERROR(__xludf.DUMMYFUNCTION("IMPORTRANGE(""https://docs.google.com/spreadsheets/d/1QqKyyYR6Q21VydFLVH3TRQUabQu_ym0Zz7PgGX0-kHA/edit?usp=sharing"",""แผน!FW87"")"),100)</f>
        <v>100</v>
      </c>
      <c r="J466" s="536">
        <f>J495+J498</f>
        <v>100</v>
      </c>
      <c r="K466" s="537">
        <f t="shared" ca="1" si="205"/>
        <v>100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113833</v>
      </c>
      <c r="M467" s="191">
        <f t="shared" ca="1" si="206"/>
        <v>113833</v>
      </c>
      <c r="N467" s="191">
        <f t="shared" si="206"/>
        <v>107553</v>
      </c>
      <c r="O467" s="191">
        <f t="shared" ref="O467:O472" ca="1" si="207">IF(L467&gt;0,N467*100/L467,0)</f>
        <v>94.483146363532541</v>
      </c>
      <c r="P467" s="191">
        <f t="shared" ref="P467:P472" ca="1" si="208">IF(M467&gt;0,N467*100/M467,0)</f>
        <v>94.483146363532541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113833</v>
      </c>
      <c r="M469" s="45">
        <f t="shared" ca="1" si="209"/>
        <v>113833</v>
      </c>
      <c r="N469" s="45">
        <f t="shared" si="209"/>
        <v>107553</v>
      </c>
      <c r="O469" s="45">
        <f t="shared" ca="1" si="207"/>
        <v>94.483146363532541</v>
      </c>
      <c r="P469" s="45">
        <f t="shared" ca="1" si="208"/>
        <v>94.483146363532541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113833</v>
      </c>
      <c r="M470" s="38">
        <f t="shared" ca="1" si="210"/>
        <v>113833</v>
      </c>
      <c r="N470" s="38">
        <f t="shared" si="210"/>
        <v>107553</v>
      </c>
      <c r="O470" s="38">
        <f t="shared" ca="1" si="207"/>
        <v>94.483146363532541</v>
      </c>
      <c r="P470" s="38">
        <f t="shared" ca="1" si="208"/>
        <v>94.483146363532541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IFERROR(__xludf.DUMMYFUNCTION("IMPORTRANGE(""https://docs.google.com/spreadsheets/d/1QqKyyYR6Q21VydFLVH3TRQUabQu_ym0Zz7PgGX0-kHA/edit?usp=sharing"",""แผน!FS87"")"),113833)</f>
        <v>113833</v>
      </c>
      <c r="M472" s="45">
        <f ca="1">L472</f>
        <v>113833</v>
      </c>
      <c r="N472" s="45">
        <f>N473+N474+N475+N476</f>
        <v>107553</v>
      </c>
      <c r="O472" s="45">
        <f t="shared" ca="1" si="207"/>
        <v>94.483146363532541</v>
      </c>
      <c r="P472" s="45">
        <f t="shared" ca="1" si="208"/>
        <v>94.483146363532541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13053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66000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>107553-(13053+66000)</f>
        <v>28500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IFERROR(__xludf.DUMMYFUNCTION("IMPORTRANGE(""https://docs.google.com/spreadsheets/d/1QqKyyYR6Q21VydFLVH3TRQUabQu_ym0Zz7PgGX0-kHA/edit?usp=sharing"",""แผน!FV87"")"),0)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IFERROR(__xludf.DUMMYFUNCTION("IMPORTRANGE(""https://docs.google.com/spreadsheets/d/1QqKyyYR6Q21VydFLVH3TRQUabQu_ym0Zz7PgGX0-kHA/edit?usp=sharing"",""แผน!FY87"")"),90)</f>
        <v>90</v>
      </c>
      <c r="J483" s="181">
        <v>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IFERROR(__xludf.DUMMYFUNCTION("IMPORTRANGE(""https://docs.google.com/spreadsheets/d/1QqKyyYR6Q21VydFLVH3TRQUabQu_ym0Zz7PgGX0-kHA/edit?usp=sharing"",""แผน!FZ87"")"),9)</f>
        <v>9</v>
      </c>
      <c r="J485" s="181">
        <v>14</v>
      </c>
      <c r="K485" s="38">
        <f ca="1">IF(I485&gt;0,J485*100/I485,0)</f>
        <v>155.55555555555554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IFERROR(__xludf.DUMMYFUNCTION("IMPORTRANGE(""https://docs.google.com/spreadsheets/d/1QqKyyYR6Q21VydFLVH3TRQUabQu_ym0Zz7PgGX0-kHA/edit?usp=sharing"",""แผน!GA87"")"),10)</f>
        <v>10</v>
      </c>
      <c r="J487" s="181">
        <v>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IFERROR(__xludf.DUMMYFUNCTION("IMPORTRANGE(""https://docs.google.com/spreadsheets/d/1QqKyyYR6Q21VydFLVH3TRQUabQu_ym0Zz7PgGX0-kHA/edit?usp=sharing"",""แผน!GB87"")"),1)</f>
        <v>1</v>
      </c>
      <c r="J489" s="181">
        <v>2</v>
      </c>
      <c r="K489" s="38">
        <f ca="1">IF(I489&gt;0,J489*100/I489,0)</f>
        <v>200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IFERROR(__xludf.DUMMYFUNCTION("IMPORTRANGE(""https://docs.google.com/spreadsheets/d/1QqKyyYR6Q21VydFLVH3TRQUabQu_ym0Zz7PgGX0-kHA/edit?usp=sharing"",""แผน!GC87"")"),1)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IFERROR(__xludf.DUMMYFUNCTION("IMPORTRANGE(""https://docs.google.com/spreadsheets/d/1QqKyyYR6Q21VydFLVH3TRQUabQu_ym0Zz7PgGX0-kHA/edit?usp=sharing"",""แผน!FY87"")"),90)</f>
        <v>90</v>
      </c>
      <c r="J495" s="181">
        <v>90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IFERROR(__xludf.DUMMYFUNCTION("IMPORTRANGE(""https://docs.google.com/spreadsheets/d/1QqKyyYR6Q21VydFLVH3TRQUabQu_ym0Zz7PgGX0-kHA/edit?usp=sharing"",""แผน!GA87"")"),10)</f>
        <v>10</v>
      </c>
      <c r="J498" s="181">
        <v>10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 hidden="1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 hidden="1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0</v>
      </c>
      <c r="J522" s="630">
        <f t="shared" ca="1" si="225"/>
        <v>0</v>
      </c>
      <c r="K522" s="631">
        <f ca="1">IF(I522&gt;0,J522*100/I522,0)</f>
        <v>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 hidden="1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 hidden="1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IFERROR(__xludf.DUMMYFUNCTION("IMPORTRANGE(""https://docs.google.com/spreadsheets/d/1QqKyyYR6Q21VydFLVH3TRQUabQu_ym0Zz7PgGX0-kHA/edit?usp=sharing"",""แผน!GQ87"")"),0)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 hidden="1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 hidden="1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 hidden="1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 hidden="1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 hidden="1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IFERROR(__xludf.DUMMYFUNCTION("IMPORTRANGE(""https://docs.google.com/spreadsheets/d/1QqKyyYR6Q21VydFLVH3TRQUabQu_ym0Zz7PgGX0-kHA/edit?usp=sharing"",""แผน!GT87"")"),0)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 hidden="1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 hidden="1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IFERROR(__xludf.DUMMYFUNCTION("IMPORTRANGE(""https://docs.google.com/spreadsheets/d/1QqKyyYR6Q21VydFLVH3TRQUabQu_ym0Zz7PgGX0-kHA/edit?usp=sharing"",""แผน!GU87"")"),0)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 hidden="1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IFERROR(__xludf.DUMMYFUNCTION("IMPORTRANGE(""https://docs.google.com/spreadsheets/d/1QqKyyYR6Q21VydFLVH3TRQUabQu_ym0Zz7PgGX0-kHA/edit?usp=sharing"",""แผน!GV87"")"),0)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 hidden="1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IFERROR(__xludf.DUMMYFUNCTION("IMPORTRANGE(""https://docs.google.com/spreadsheets/d/1QqKyyYR6Q21VydFLVH3TRQUabQu_ym0Zz7PgGX0-kHA/edit?usp=sharing"",""แผน!GW87"")"),0)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 hidden="1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IFERROR(__xludf.DUMMYFUNCTION("IMPORTRANGE(""https://docs.google.com/spreadsheets/d/1QqKyyYR6Q21VydFLVH3TRQUabQu_ym0Zz7PgGX0-kHA/edit?usp=sharing"",""แผน!GX87"")"),0)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 hidden="1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IFERROR(__xludf.DUMMYFUNCTION("IMPORTRANGE(""https://docs.google.com/spreadsheets/d/1QqKyyYR6Q21VydFLVH3TRQUabQu_ym0Zz7PgGX0-kHA/edit?usp=sharing"",""แผน!GY87"")"),0)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 hidden="1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IFERROR(__xludf.DUMMYFUNCTION("IMPORTRANGE(""https://docs.google.com/spreadsheets/d/1QqKyyYR6Q21VydFLVH3TRQUabQu_ym0Zz7PgGX0-kHA/edit?usp=sharing"",""แผน!GZ87"")"),0)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10513</v>
      </c>
      <c r="J543" s="638">
        <f t="shared" si="235"/>
        <v>10513</v>
      </c>
      <c r="K543" s="639">
        <f t="shared" ca="1" si="234"/>
        <v>100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266693</v>
      </c>
      <c r="M544" s="154">
        <f t="shared" ca="1" si="236"/>
        <v>266693</v>
      </c>
      <c r="N544" s="154">
        <f t="shared" si="236"/>
        <v>222169.3</v>
      </c>
      <c r="O544" s="154">
        <f t="shared" ref="O544:O549" ca="1" si="237">IF(L544&gt;0,N544*100/L544,0)</f>
        <v>83.305261105465831</v>
      </c>
      <c r="P544" s="154">
        <f t="shared" ref="P544:P549" ca="1" si="238">IF(M544&gt;0,N544*100/M544,0)</f>
        <v>83.305261105465831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266693</v>
      </c>
      <c r="M546" s="45">
        <f t="shared" ca="1" si="240"/>
        <v>266693</v>
      </c>
      <c r="N546" s="45">
        <f t="shared" si="240"/>
        <v>222169.3</v>
      </c>
      <c r="O546" s="45">
        <f t="shared" ca="1" si="237"/>
        <v>83.305261105465831</v>
      </c>
      <c r="P546" s="45">
        <f t="shared" ca="1" si="238"/>
        <v>83.305261105465831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266693</v>
      </c>
      <c r="M547" s="38">
        <f t="shared" ca="1" si="241"/>
        <v>266693</v>
      </c>
      <c r="N547" s="38">
        <f t="shared" si="241"/>
        <v>222169.3</v>
      </c>
      <c r="O547" s="38">
        <f t="shared" ca="1" si="237"/>
        <v>83.305261105465831</v>
      </c>
      <c r="P547" s="38">
        <f t="shared" ca="1" si="238"/>
        <v>83.305261105465831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IFERROR(__xludf.DUMMYFUNCTION("IMPORTRANGE(""https://docs.google.com/spreadsheets/d/1QqKyyYR6Q21VydFLVH3TRQUabQu_ym0Zz7PgGX0-kHA/edit?usp=sharing"",""แผน!HB87"")"),266693)</f>
        <v>266693</v>
      </c>
      <c r="M549" s="45">
        <f ca="1">L549</f>
        <v>266693</v>
      </c>
      <c r="N549" s="45">
        <f>N550+N551+N552+N553+N554</f>
        <v>222169.3</v>
      </c>
      <c r="O549" s="45">
        <f t="shared" ca="1" si="237"/>
        <v>83.305261105465831</v>
      </c>
      <c r="P549" s="45">
        <f t="shared" ca="1" si="238"/>
        <v>83.305261105465831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f>88426+15574</f>
        <v>104000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118259.3-90</f>
        <v>118169.3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IFERROR(__xludf.DUMMYFUNCTION("IMPORTRANGE(""https://docs.google.com/spreadsheets/d/1QqKyyYR6Q21VydFLVH3TRQUabQu_ym0Zz7PgGX0-kHA/edit?usp=sharing"",""แผน!HF87"")"),0)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10513</v>
      </c>
      <c r="J559" s="630">
        <f t="shared" si="245"/>
        <v>10513</v>
      </c>
      <c r="K559" s="631">
        <f t="shared" ref="K559:K561" ca="1" si="246">IF(I559&gt;0,J559*100/I559,0)</f>
        <v>100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IFERROR(__xludf.DUMMYFUNCTION("IMPORTRANGE(""https://docs.google.com/spreadsheets/d/1QqKyyYR6Q21VydFLVH3TRQUabQu_ym0Zz7PgGX0-kHA/edit?usp=sharing"",""แผน!HH87"")"),10513)</f>
        <v>10513</v>
      </c>
      <c r="J560" s="189">
        <f t="shared" ref="J560:J561" si="247">J562+J564+J566</f>
        <v>10513</v>
      </c>
      <c r="K560" s="391">
        <f t="shared" ca="1" si="246"/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IFERROR(__xludf.DUMMYFUNCTION("IMPORTRANGE(""https://docs.google.com/spreadsheets/d/1QqKyyYR6Q21VydFLVH3TRQUabQu_ym0Zz7PgGX0-kHA/edit?usp=sharing"",""แผน!HG87"")"),1831)</f>
        <v>1831</v>
      </c>
      <c r="J561" s="189">
        <f t="shared" si="247"/>
        <v>1831</v>
      </c>
      <c r="K561" s="391">
        <f t="shared" ca="1" si="246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9992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1746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317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50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204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35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IFERROR(__xludf.DUMMYFUNCTION("IMPORTRANGE(""https://docs.google.com/spreadsheets/d/1QqKyyYR6Q21VydFLVH3TRQUabQu_ym0Zz7PgGX0-kHA/edit?usp=sharing"",""แผน!HH87"")"),10513)</f>
        <v>10513</v>
      </c>
      <c r="J568" s="190">
        <f t="shared" ref="J568:J569" si="248">J570+J572+J574</f>
        <v>10513</v>
      </c>
      <c r="K568" s="391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IFERROR(__xludf.DUMMYFUNCTION("IMPORTRANGE(""https://docs.google.com/spreadsheets/d/1QqKyyYR6Q21VydFLVH3TRQUabQu_ym0Zz7PgGX0-kHA/edit?usp=sharing"",""แผน!HG87"")"),1831)</f>
        <v>1831</v>
      </c>
      <c r="J569" s="190">
        <f t="shared" si="248"/>
        <v>1831</v>
      </c>
      <c r="K569" s="391">
        <f t="shared" ca="1" si="249"/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10055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1758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199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29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259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44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IFERROR(__xludf.DUMMYFUNCTION("IMPORTRANGE(""https://docs.google.com/spreadsheets/d/1QqKyyYR6Q21VydFLVH3TRQUabQu_ym0Zz7PgGX0-kHA/edit?usp=sharing"",""แผน!HH87"")"),10513)</f>
        <v>10513</v>
      </c>
      <c r="J576" s="190">
        <f t="shared" ref="J576:J577" si="250">J578+J580+J582+J588+J590</f>
        <v>10513</v>
      </c>
      <c r="K576" s="391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IFERROR(__xludf.DUMMYFUNCTION("IMPORTRANGE(""https://docs.google.com/spreadsheets/d/1QqKyyYR6Q21VydFLVH3TRQUabQu_ym0Zz7PgGX0-kHA/edit?usp=sharing"",""แผน!HG87"")"),1831)</f>
        <v>1831</v>
      </c>
      <c r="J577" s="190">
        <f t="shared" si="250"/>
        <v>1831</v>
      </c>
      <c r="K577" s="391">
        <f t="shared" ca="1" si="251"/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10199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1777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55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10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259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44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259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44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414.92</v>
      </c>
      <c r="J592" s="630">
        <f t="shared" si="253"/>
        <v>215.97500000000002</v>
      </c>
      <c r="K592" s="631">
        <f t="shared" ref="K592:K594" ca="1" si="254">IF(I592&gt;0,J592*100/I592,0)</f>
        <v>52.052202834281317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IFERROR(__xludf.DUMMYFUNCTION("IMPORTRANGE(""https://docs.google.com/spreadsheets/d/1QqKyyYR6Q21VydFLVH3TRQUabQu_ym0Zz7PgGX0-kHA/edit?usp=sharing"",""แผน!HJ87"")"),414.92)</f>
        <v>414.92</v>
      </c>
      <c r="J593" s="189">
        <f t="shared" ref="J593:J594" si="255">J595+J603+J609</f>
        <v>215.97500000000002</v>
      </c>
      <c r="K593" s="391">
        <f t="shared" ca="1" si="254"/>
        <v>52.052202834281317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IFERROR(__xludf.DUMMYFUNCTION("IMPORTRANGE(""https://docs.google.com/spreadsheets/d/1QqKyyYR6Q21VydFLVH3TRQUabQu_ym0Zz7PgGX0-kHA/edit?usp=sharing"",""แผน!HI87"")"),44)</f>
        <v>44</v>
      </c>
      <c r="J594" s="189">
        <f t="shared" si="255"/>
        <v>19</v>
      </c>
      <c r="K594" s="391">
        <f t="shared" ca="1" si="254"/>
        <v>43.18181818181818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47.7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9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47.7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9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168.27500000000001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10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168.27500000000001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10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 hidden="1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 hidden="1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IFERROR(__xludf.DUMMYFUNCTION("IMPORTRANGE(""https://docs.google.com/spreadsheets/d/1QqKyyYR6Q21VydFLVH3TRQUabQu_ym0Zz7PgGX0-kHA/edit?usp=sharing"",""แผน!HL87"")"),0)</f>
        <v>0</v>
      </c>
      <c r="J620" s="675">
        <f t="shared" ref="J620:J621" si="260">J622+J624+J626</f>
        <v>0</v>
      </c>
      <c r="K620" s="676">
        <f t="shared" ref="K620:K621" ca="1" si="261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 hidden="1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IFERROR(__xludf.DUMMYFUNCTION("IMPORTRANGE(""https://docs.google.com/spreadsheets/d/1QqKyyYR6Q21VydFLVH3TRQUabQu_ym0Zz7PgGX0-kHA/edit?usp=sharing"",""แผน!HK87"")"),0)</f>
        <v>0</v>
      </c>
      <c r="J621" s="675">
        <f t="shared" si="260"/>
        <v>0</v>
      </c>
      <c r="K621" s="676">
        <f t="shared" ca="1" si="261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 hidden="1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 hidden="1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 hidden="1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 hidden="1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 hidden="1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 hidden="1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 hidden="1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0</v>
      </c>
      <c r="J628" s="686">
        <f t="shared" ca="1" si="262"/>
        <v>0</v>
      </c>
      <c r="K628" s="687">
        <f ca="1">IF(I628&gt;0,J628*100/I628,0)</f>
        <v>0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 hidden="1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 hidden="1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IFERROR(__xludf.DUMMYFUNCTION("IMPORTRANGE(""https://docs.google.com/spreadsheets/d/1QqKyyYR6Q21VydFLVH3TRQUabQu_ym0Zz7PgGX0-kHA/edit?usp=sharing"",""แผน!HN87"")"),0)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 hidden="1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 hidden="1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 hidden="1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 hidden="1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 hidden="1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IFERROR(__xludf.DUMMYFUNCTION("IMPORTRANGE(""https://docs.google.com/spreadsheets/d/1QqKyyYR6Q21VydFLVH3TRQUabQu_ym0Zz7PgGX0-kHA/edit?usp=sharing"",""แผน!HQ87"")"),0)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 hidden="1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 hidden="1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IFERROR(__xludf.DUMMYFUNCTION("IMPORTRANGE(""https://docs.google.com/spreadsheets/d/1QqKyyYR6Q21VydFLVH3TRQUabQu_ym0Zz7PgGX0-kHA/edit?usp=sharing"",""แผน!HR87"")"),0)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 hidden="1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IFERROR(__xludf.DUMMYFUNCTION("IMPORTRANGE(""https://docs.google.com/spreadsheets/d/1QqKyyYR6Q21VydFLVH3TRQUabQu_ym0Zz7PgGX0-kHA/edit?usp=sharing"",""แผน!HR87"")"),0)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 hidden="1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IFERROR(__xludf.DUMMYFUNCTION("IMPORTRANGE(""https://docs.google.com/spreadsheets/d/1XWAQStnk-4SwqDmLtmXYiTMKHgktTP8We1SCoS47DrQ/edit?usp=sharing"",""จัดที่ดิน!AS87"")"),0)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 hidden="1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IFERROR(__xludf.DUMMYFUNCTION("IMPORTRANGE(""https://docs.google.com/spreadsheets/d/1XWAQStnk-4SwqDmLtmXYiTMKHgktTP8We1SCoS47DrQ/edit?usp=sharing"",""จัดที่ดิน!AT87"")"),0)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 hidden="1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IFERROR(__xludf.DUMMYFUNCTION("IMPORTRANGE(""https://docs.google.com/spreadsheets/d/1QqKyyYR6Q21VydFLVH3TRQUabQu_ym0Zz7PgGX0-kHA/edit?usp=sharing"",""แผน!HS87"")"),0)</f>
        <v>0</v>
      </c>
      <c r="J647" s="37">
        <f ca="1">IFERROR(__xludf.DUMMYFUNCTION("IMPORTRANGE(""https://docs.google.com/spreadsheets/d/1XWAQStnk-4SwqDmLtmXYiTMKHgktTP8We1SCoS47DrQ/edit?usp=sharing"",""จัดที่ดิน!AU87"")"),0)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 hidden="1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IFERROR(__xludf.DUMMYFUNCTION("IMPORTRANGE(""https://docs.google.com/spreadsheets/d/1XWAQStnk-4SwqDmLtmXYiTMKHgktTP8We1SCoS47DrQ/edit?usp=sharing"",""จัดที่ดิน!AV87"")"),0)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 hidden="1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IFERROR(__xludf.DUMMYFUNCTION("IMPORTRANGE(""https://docs.google.com/spreadsheets/d/1QqKyyYR6Q21VydFLVH3TRQUabQu_ym0Zz7PgGX0-kHA/edit?usp=sharing"",""แผน!HS87"")"),0)</f>
        <v>0</v>
      </c>
      <c r="J649" s="37">
        <f ca="1">IFERROR(__xludf.DUMMYFUNCTION("IMPORTRANGE(""https://docs.google.com/spreadsheets/d/1XWAQStnk-4SwqDmLtmXYiTMKHgktTP8We1SCoS47DrQ/edit?usp=sharing"",""จัดที่ดิน!AW87"")"),0)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 hidden="1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IFERROR(__xludf.DUMMYFUNCTION("IMPORTRANGE(""https://docs.google.com/spreadsheets/d/1XWAQStnk-4SwqDmLtmXYiTMKHgktTP8We1SCoS47DrQ/edit?usp=sharing"",""จัดที่ดิน!AX87"")"),0)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 hidden="1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IFERROR(__xludf.DUMMYFUNCTION("IMPORTRANGE(""https://docs.google.com/spreadsheets/d/1QqKyyYR6Q21VydFLVH3TRQUabQu_ym0Zz7PgGX0-kHA/edit?usp=sharing"",""แผน!HS87"")"),0)</f>
        <v>0</v>
      </c>
      <c r="J651" s="37">
        <f ca="1">IFERROR(__xludf.DUMMYFUNCTION("IMPORTRANGE(""https://docs.google.com/spreadsheets/d/1XWAQStnk-4SwqDmLtmXYiTMKHgktTP8We1SCoS47DrQ/edit?usp=sharing"",""จัดที่ดิน!AY87"")"),0)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 hidden="1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IFERROR(__xludf.DUMMYFUNCTION("IMPORTRANGE(""https://docs.google.com/spreadsheets/d/1XWAQStnk-4SwqDmLtmXYiTMKHgktTP8We1SCoS47DrQ/edit?usp=sharing"",""จัดที่ดิน!AZ87"")"),0)</f>
        <v>0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 hidden="1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 hidden="1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 hidden="1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 hidden="1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IFERROR(__xludf.DUMMYFUNCTION("IMPORTRANGE(""https://docs.google.com/spreadsheets/d/1QqKyyYR6Q21VydFLVH3TRQUabQu_ym0Zz7PgGX0-kHA/edit?usp=sharing"",""แผน!HV87"")"),0)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 hidden="1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 hidden="1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 hidden="1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 hidden="1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 hidden="1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 hidden="1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 hidden="1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IFERROR(__xludf.DUMMYFUNCTION("IMPORTRANGE(""https://docs.google.com/spreadsheets/d/1QqKyyYR6Q21VydFLVH3TRQUabQu_ym0Zz7PgGX0-kHA/edit?usp=sharing"",""แผน!IA87"")"),0)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 hidden="1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IFERROR(__xludf.DUMMYFUNCTION("IMPORTRANGE(""https://docs.google.com/spreadsheets/d/1QqKyyYR6Q21VydFLVH3TRQUabQu_ym0Zz7PgGX0-kHA/edit?usp=sharing"",""แผน!HZ87"")"),0)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 hidden="1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IFERROR(__xludf.DUMMYFUNCTION("IMPORTRANGE(""https://docs.google.com/spreadsheets/d/1QqKyyYR6Q21VydFLVH3TRQUabQu_ym0Zz7PgGX0-kHA/edit?usp=sharing"",""แผน!HZ87"")"),0)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 hidden="1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 hidden="1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 hidden="1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 hidden="1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 hidden="1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 hidden="1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 hidden="1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IFERROR(__xludf.DUMMYFUNCTION("IMPORTRANGE(""https://docs.google.com/spreadsheets/d/1QqKyyYR6Q21VydFLVH3TRQUabQu_ym0Zz7PgGX0-kHA/edit?usp=sharing"",""แผน!IB87"")"),0)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 hidden="1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 hidden="1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 hidden="1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 hidden="1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 hidden="1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 hidden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 hidden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 hidden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IFERROR(__xludf.DUMMYFUNCTION("IMPORTRANGE(""https://docs.google.com/spreadsheets/d/1QqKyyYR6Q21VydFLVH3TRQUabQu_ym0Zz7PgGX0-kHA/edit?usp=sharing"",""แผน!HW87"")"),0)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 hidden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 hidden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 hidden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 hidden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 hidden="1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 hidden="1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 hidden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IFERROR(__xludf.DUMMYFUNCTION("IMPORTRANGE(""https://docs.google.com/spreadsheets/d/1QqKyyYR6Q21VydFLVH3TRQUabQu_ym0Zz7PgGX0-kHA/edit?usp=sharing"",""แผน!IC87"")"),0)</f>
        <v>0</v>
      </c>
      <c r="J699" s="37">
        <f ca="1">IFERROR(__xludf.DUMMYFUNCTION("IMPORTRANGE(""https://docs.google.com/spreadsheets/d/1XWAQStnk-4SwqDmLtmXYiTMKHgktTP8We1SCoS47DrQ/edit?usp=sharing"",""จัดที่ดิน!BB87"")"),0)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 hidden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IFERROR(__xludf.DUMMYFUNCTION("IMPORTRANGE(""https://docs.google.com/spreadsheets/d/1QqKyyYR6Q21VydFLVH3TRQUabQu_ym0Zz7PgGX0-kHA/edit?usp=sharing"",""แผน!ID87"")"),0)</f>
        <v>0</v>
      </c>
      <c r="J700" s="37">
        <f ca="1">IFERROR(__xludf.DUMMYFUNCTION("IMPORTRANGE(""https://docs.google.com/spreadsheets/d/1XWAQStnk-4SwqDmLtmXYiTMKHgktTP8We1SCoS47DrQ/edit?usp=sharing"",""จัดที่ดิน!BD87"")"),0)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 hidden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IFERROR(__xludf.DUMMYFUNCTION("IMPORTRANGE(""https://docs.google.com/spreadsheets/d/1QqKyyYR6Q21VydFLVH3TRQUabQu_ym0Zz7PgGX0-kHA/edit?usp=sharing"",""แผน!IE87"")"),0)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 hidden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 hidden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 hidden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IFERROR(__xludf.DUMMYFUNCTION("IMPORTRANGE(""https://docs.google.com/spreadsheets/d/1QqKyyYR6Q21VydFLVH3TRQUabQu_ym0Zz7PgGX0-kHA/edit?usp=sharing"",""แผน!IF87"")"),0)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 hidden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 hidden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 hidden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IFERROR(__xludf.DUMMYFUNCTION("IMPORTRANGE(""https://docs.google.com/spreadsheets/d/1QqKyyYR6Q21VydFLVH3TRQUabQu_ym0Zz7PgGX0-kHA/edit?usp=sharing"",""แผน!IG87"")"),0)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 hidden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IFERROR(__xludf.DUMMYFUNCTION("IMPORTRANGE(""https://docs.google.com/spreadsheets/d/1QqKyyYR6Q21VydFLVH3TRQUabQu_ym0Zz7PgGX0-kHA/edit?usp=sharing"",""แผน!IH87"")"),0)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 hidden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 hidden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 hidden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 hidden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 hidden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 hidden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 hidden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 hidden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 hidden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 hidden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IFERROR(__xludf.DUMMYFUNCTION("IMPORTRANGE(""https://docs.google.com/spreadsheets/d/1XWAQStnk-4SwqDmLtmXYiTMKHgktTP8We1SCoS47DrQ/edit?usp=sharing"",""จัดที่ดิน!BF87"")"),0)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 hidden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IFERROR(__xludf.DUMMYFUNCTION("IMPORTRANGE(""https://docs.google.com/spreadsheets/d/1XWAQStnk-4SwqDmLtmXYiTMKHgktTP8We1SCoS47DrQ/edit?usp=sharing"",""จัดที่ดิน!BG87"")"),0)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 hidden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IFERROR(__xludf.DUMMYFUNCTION("IMPORTRANGE(""https://docs.google.com/spreadsheets/d/1QqKyyYR6Q21VydFLVH3TRQUabQu_ym0Zz7PgGX0-kHA/edit?usp=sharing"",""แผน!II87"")"),0)</f>
        <v>0</v>
      </c>
      <c r="J720" s="37">
        <f ca="1">IFERROR(__xludf.DUMMYFUNCTION("IMPORTRANGE(""https://docs.google.com/spreadsheets/d/1XWAQStnk-4SwqDmLtmXYiTMKHgktTP8We1SCoS47DrQ/edit?usp=sharing"",""จัดที่ดิน!BH87"")"),0)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 hidden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IFERROR(__xludf.DUMMYFUNCTION("IMPORTRANGE(""https://docs.google.com/spreadsheets/d/1QqKyyYR6Q21VydFLVH3TRQUabQu_ym0Zz7PgGX0-kHA/edit?usp=sharing"",""แผน!IJ87"")"),0)</f>
        <v>0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 hidden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IFERROR(__xludf.DUMMYFUNCTION("IMPORTRANGE(""https://docs.google.com/spreadsheets/d/1QqKyyYR6Q21VydFLVH3TRQUabQu_ym0Zz7PgGX0-kHA/edit?usp=sharing"",""แผน!IK87"")"),0)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 hidden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IFERROR(__xludf.DUMMYFUNCTION("IMPORTRANGE(""https://docs.google.com/spreadsheets/d/1QqKyyYR6Q21VydFLVH3TRQUabQu_ym0Zz7PgGX0-kHA/edit?usp=sharing"",""แผน!IL87"")"),0)</f>
        <v>0</v>
      </c>
      <c r="J723" s="37">
        <f ca="1">IFERROR(__xludf.DUMMYFUNCTION("IMPORTRANGE(""https://docs.google.com/spreadsheets/d/1XWAQStnk-4SwqDmLtmXYiTMKHgktTP8We1SCoS47DrQ/edit?usp=sharing"",""จัดที่ดิน!BM87"")"),0)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 hidden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IFERROR(__xludf.DUMMYFUNCTION("IMPORTRANGE(""https://docs.google.com/spreadsheets/d/1XWAQStnk-4SwqDmLtmXYiTMKHgktTP8We1SCoS47DrQ/edit?usp=sharing"",""จัดที่ดิน!BN87"")"),0)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 hidden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IFERROR(__xludf.DUMMYFUNCTION("IMPORTRANGE(""https://docs.google.com/spreadsheets/d/1QqKyyYR6Q21VydFLVH3TRQUabQu_ym0Zz7PgGX0-kHA/edit?usp=sharing"",""แผน!IM87"")"),0)</f>
        <v>0</v>
      </c>
      <c r="J725" s="37">
        <f ca="1">IFERROR(__xludf.DUMMYFUNCTION("IMPORTRANGE(""https://docs.google.com/spreadsheets/d/1XWAQStnk-4SwqDmLtmXYiTMKHgktTP8We1SCoS47DrQ/edit?usp=sharing"",""จัดที่ดิน!BO87"")"),0)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 hidden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IFERROR(__xludf.DUMMYFUNCTION("IMPORTRANGE(""https://docs.google.com/spreadsheets/d/1QqKyyYR6Q21VydFLVH3TRQUabQu_ym0Zz7PgGX0-kHA/edit?usp=sharing"",""แผน!IN87"")"),0)</f>
        <v>0</v>
      </c>
      <c r="J726" s="37">
        <f ca="1">IFERROR(__xludf.DUMMYFUNCTION("IMPORTRANGE(""https://docs.google.com/spreadsheets/d/1XWAQStnk-4SwqDmLtmXYiTMKHgktTP8We1SCoS47DrQ/edit?usp=sharing"",""จัดที่ดิน!BR87"")"),0)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 hidden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IFERROR(__xludf.DUMMYFUNCTION("IMPORTRANGE(""https://docs.google.com/spreadsheets/d/1XWAQStnk-4SwqDmLtmXYiTMKHgktTP8We1SCoS47DrQ/edit?usp=sharing"",""จัดที่ดิน!BS87"")"),0)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 hidden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IFERROR(__xludf.DUMMYFUNCTION("IMPORTRANGE(""https://docs.google.com/spreadsheets/d/1QqKyyYR6Q21VydFLVH3TRQUabQu_ym0Zz7PgGX0-kHA/edit?usp=sharing"",""แผน!IO87"")"),0)</f>
        <v>0</v>
      </c>
      <c r="J728" s="37">
        <f ca="1">IFERROR(__xludf.DUMMYFUNCTION("IMPORTRANGE(""https://docs.google.com/spreadsheets/d/1XWAQStnk-4SwqDmLtmXYiTMKHgktTP8We1SCoS47DrQ/edit?usp=sharing"",""จัดที่ดิน!BT87"")"),0)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 hidden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IFERROR(__xludf.DUMMYFUNCTION("IMPORTRANGE(""https://docs.google.com/spreadsheets/d/1QqKyyYR6Q21VydFLVH3TRQUabQu_ym0Zz7PgGX0-kHA/edit?usp=sharing"",""แผน!IP87"")"),0)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 hidden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 hidden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 hidden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 hidden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 hidden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 hidden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IFERROR(__xludf.DUMMYFUNCTION("IMPORTRANGE(""https://docs.google.com/spreadsheets/d/1QqKyyYR6Q21VydFLVH3TRQUabQu_ym0Zz7PgGX0-kHA/edit?usp=sharing"",""แผน!JJ87"")"),0)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IFERROR(__xludf.DUMMYFUNCTION("IMPORTRANGE(""https://docs.google.com/spreadsheets/d/1QqKyyYR6Q21VydFLVH3TRQUabQu_ym0Zz7PgGX0-kHA/edit?usp=sharing"",""แผน!JN87"")"),0)</f>
        <v>0</v>
      </c>
      <c r="J800" s="161">
        <f ca="1">IFERROR(__xludf.DUMMYFUNCTION("IMPORTRANGE(""https://docs.google.com/spreadsheets/d/1MaWodYyGHDf7siQLGxnXhG4mBNTNIuy296niS2xXulU/edit?usp=sharing"",""RTK!H87"")"),0)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IFERROR(__xludf.DUMMYFUNCTION("IMPORTRANGE(""https://docs.google.com/spreadsheets/d/1MaWodYyGHDf7siQLGxnXhG4mBNTNIuy296niS2xXulU/edit?usp=sharing"",""RTK!I87"")"),0)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341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37">
        <f ca="1">IFERROR(__xludf.DUMMYFUNCTION("IMPORTRANGE(""https://docs.google.com/spreadsheets/d/19vJNZY_5yjcGF2XGBMNZRCAIB0Kwfpjp8YEOfu-bneM/edit?usp=sharing"",""งานกองทุน!F87"")"),367308.44)</f>
        <v>367308.44</v>
      </c>
      <c r="K821" s="38">
        <f t="shared" ref="K821:K828" ca="1" si="335">IF(I821&gt;0,J821*100/I821,0)</f>
        <v>97.04979369664315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IFERROR(__xludf.DUMMYFUNCTION("IMPORTRANGE(""https://docs.google.com/spreadsheets/d/19vJNZY_5yjcGF2XGBMNZRCAIB0Kwfpjp8YEOfu-bneM/edit?usp=sharing"",""งานกองทุน!C87"")"),42)</f>
        <v>42</v>
      </c>
      <c r="J822" s="37">
        <f ca="1">IFERROR(__xludf.DUMMYFUNCTION("IMPORTRANGE(""https://docs.google.com/spreadsheets/d/19vJNZY_5yjcGF2XGBMNZRCAIB0Kwfpjp8YEOfu-bneM/edit?usp=sharing"",""งานกองทุน!E87"")"),40)</f>
        <v>40</v>
      </c>
      <c r="K822" s="38">
        <f t="shared" ca="1" si="335"/>
        <v>95.238095238095241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37">
        <f ca="1">IFERROR(__xludf.DUMMYFUNCTION("IMPORTRANGE(""https://docs.google.com/spreadsheets/d/19vJNZY_5yjcGF2XGBMNZRCAIB0Kwfpjp8YEOfu-bneM/edit?usp=sharing"",""งานกองทุน!K87"")"),20790.63)</f>
        <v>20790.63</v>
      </c>
      <c r="K823" s="38">
        <f t="shared" ca="1" si="335"/>
        <v>212.3523205350422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IFERROR(__xludf.DUMMYFUNCTION("IMPORTRANGE(""https://docs.google.com/spreadsheets/d/19vJNZY_5yjcGF2XGBMNZRCAIB0Kwfpjp8YEOfu-bneM/edit?usp=sharing"",""งานกองทุน!H87"")"),1)</f>
        <v>1</v>
      </c>
      <c r="J824" s="37">
        <f ca="1">IFERROR(__xludf.DUMMYFUNCTION("IMPORTRANGE(""https://docs.google.com/spreadsheets/d/19vJNZY_5yjcGF2XGBMNZRCAIB0Kwfpjp8YEOfu-bneM/edit?usp=sharing"",""งานกองทุน!J87"")"),2)</f>
        <v>2</v>
      </c>
      <c r="K824" s="38">
        <f t="shared" ca="1" si="335"/>
        <v>200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IFERROR(__xludf.DUMMYFUNCTION("IMPORTRANGE(""https://docs.google.com/spreadsheets/d/19vJNZY_5yjcGF2XGBMNZRCAIB0Kwfpjp8YEOfu-bneM/edit?usp=sharing"",""งานกองทุน!N87"")"),0)</f>
        <v>0</v>
      </c>
      <c r="J825" s="37">
        <f ca="1">IFERROR(__xludf.DUMMYFUNCTION("IMPORTRANGE(""https://docs.google.com/spreadsheets/d/19vJNZY_5yjcGF2XGBMNZRCAIB0Kwfpjp8YEOfu-bneM/edit?usp=sharing"",""งานกองทุน!P87"")"),0)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IFERROR(__xludf.DUMMYFUNCTION("IMPORTRANGE(""https://docs.google.com/spreadsheets/d/19vJNZY_5yjcGF2XGBMNZRCAIB0Kwfpjp8YEOfu-bneM/edit?usp=sharing"",""งานกองทุน!M87"")"),0)</f>
        <v>0</v>
      </c>
      <c r="J826" s="37">
        <f ca="1">IFERROR(__xludf.DUMMYFUNCTION("IMPORTRANGE(""https://docs.google.com/spreadsheets/d/19vJNZY_5yjcGF2XGBMNZRCAIB0Kwfpjp8YEOfu-bneM/edit?usp=sharing"",""งานกองทุน!O87"")"),0)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IFERROR(__xludf.DUMMYFUNCTION("IMPORTRANGE(""https://docs.google.com/spreadsheets/d/19vJNZY_5yjcGF2XGBMNZRCAIB0Kwfpjp8YEOfu-bneM/edit?usp=sharing"",""งานกองทุน!S87"")"),780000)</f>
        <v>780000</v>
      </c>
      <c r="J827" s="37">
        <f ca="1">IFERROR(__xludf.DUMMYFUNCTION("IMPORTRANGE(""https://docs.google.com/spreadsheets/d/19vJNZY_5yjcGF2XGBMNZRCAIB0Kwfpjp8YEOfu-bneM/edit?usp=sharing"",""งานกองทุน!U87"")"),570000)</f>
        <v>570000</v>
      </c>
      <c r="K827" s="38">
        <f t="shared" ca="1" si="335"/>
        <v>73.07692307692308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IFERROR(__xludf.DUMMYFUNCTION("IMPORTRANGE(""https://docs.google.com/spreadsheets/d/19vJNZY_5yjcGF2XGBMNZRCAIB0Kwfpjp8YEOfu-bneM/edit?usp=sharing"",""งานกองทุน!R87"")"),31)</f>
        <v>31</v>
      </c>
      <c r="J828" s="365">
        <f ca="1">IFERROR(__xludf.DUMMYFUNCTION("IMPORTRANGE(""https://docs.google.com/spreadsheets/d/19vJNZY_5yjcGF2XGBMNZRCAIB0Kwfpjp8YEOfu-bneM/edit?usp=sharing"",""งานกองทุน!T87"")"),19)</f>
        <v>19</v>
      </c>
      <c r="K828" s="475">
        <f t="shared" ca="1" si="335"/>
        <v>61.29032258064516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1E8A3-1AF1-44CA-BF80-1960E42D47B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5.36328125" bestFit="1" customWidth="1"/>
    <col min="11" max="11" width="13.816406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353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7067032</v>
      </c>
      <c r="M8" s="22">
        <f t="shared" ca="1" si="0"/>
        <v>7615236</v>
      </c>
      <c r="N8" s="22">
        <f t="shared" ca="1" si="0"/>
        <v>6875146.0800000001</v>
      </c>
      <c r="O8" s="22">
        <f t="shared" ref="O8:O16" ca="1" si="1">IF(L8&gt;0,N8*100/L8,0)</f>
        <v>97.284773579630041</v>
      </c>
      <c r="P8" s="22">
        <f t="shared" ref="P8:P16" ca="1" si="2">IF(M8&gt;0,N8*100/M8,0)</f>
        <v>90.28145785632907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7067032</v>
      </c>
      <c r="M10" s="30">
        <f t="shared" ca="1" si="3"/>
        <v>7615236</v>
      </c>
      <c r="N10" s="30">
        <f t="shared" ca="1" si="3"/>
        <v>6875146.0800000001</v>
      </c>
      <c r="O10" s="30">
        <f t="shared" ca="1" si="1"/>
        <v>97.284773579630041</v>
      </c>
      <c r="P10" s="30">
        <f t="shared" ca="1" si="2"/>
        <v>90.28145785632907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6598432</v>
      </c>
      <c r="M11" s="38">
        <f t="shared" ca="1" si="4"/>
        <v>7179236</v>
      </c>
      <c r="N11" s="38">
        <f t="shared" ca="1" si="4"/>
        <v>6439146.0800000001</v>
      </c>
      <c r="O11" s="38">
        <f t="shared" ca="1" si="1"/>
        <v>97.586003462640818</v>
      </c>
      <c r="P11" s="38">
        <f t="shared" ca="1" si="2"/>
        <v>89.691244026523151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6598432</v>
      </c>
      <c r="M13" s="45">
        <f t="shared" ca="1" si="5"/>
        <v>7179236</v>
      </c>
      <c r="N13" s="45">
        <f t="shared" ca="1" si="5"/>
        <v>6439146.0800000001</v>
      </c>
      <c r="O13" s="45">
        <f t="shared" ca="1" si="1"/>
        <v>97.586003462640818</v>
      </c>
      <c r="P13" s="45">
        <f t="shared" ca="1" si="2"/>
        <v>89.691244026523151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468600</v>
      </c>
      <c r="M14" s="38">
        <f t="shared" ca="1" si="6"/>
        <v>436000</v>
      </c>
      <c r="N14" s="38">
        <f t="shared" ca="1" si="6"/>
        <v>436000</v>
      </c>
      <c r="O14" s="38">
        <f t="shared" ca="1" si="1"/>
        <v>93.043107127614164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436000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5120453</v>
      </c>
      <c r="N18" s="22">
        <f t="shared" ca="1" si="8"/>
        <v>4437606.05</v>
      </c>
      <c r="O18" s="22">
        <f t="shared" ref="O18:O26" ca="1" si="9">IF(L18&gt;0,N18*100/L18,0)</f>
        <v>89.25293708054636</v>
      </c>
      <c r="P18" s="22">
        <f t="shared" ref="P18:P26" ca="1" si="10">IF(M18&gt;0,N18*100/M18,0)</f>
        <v>86.664325402459511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5120453</v>
      </c>
      <c r="N20" s="30">
        <f t="shared" ca="1" si="11"/>
        <v>4437606.05</v>
      </c>
      <c r="O20" s="30">
        <f t="shared" ca="1" si="9"/>
        <v>89.25293708054636</v>
      </c>
      <c r="P20" s="30">
        <f t="shared" ca="1" si="10"/>
        <v>86.664325402459511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4503344</v>
      </c>
      <c r="M21" s="38">
        <f t="shared" ca="1" si="12"/>
        <v>4684453</v>
      </c>
      <c r="N21" s="38">
        <f t="shared" ca="1" si="12"/>
        <v>4001606.05</v>
      </c>
      <c r="O21" s="38">
        <f t="shared" ca="1" si="9"/>
        <v>88.858547115210385</v>
      </c>
      <c r="P21" s="38">
        <f t="shared" ca="1" si="10"/>
        <v>85.423123041260098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4503344</v>
      </c>
      <c r="M23" s="45">
        <f t="shared" ca="1" si="13"/>
        <v>4684453</v>
      </c>
      <c r="N23" s="45">
        <f t="shared" ca="1" si="13"/>
        <v>4001606.05</v>
      </c>
      <c r="O23" s="45">
        <f t="shared" ca="1" si="9"/>
        <v>88.858547115210385</v>
      </c>
      <c r="P23" s="45">
        <f t="shared" ca="1" si="10"/>
        <v>85.423123041260098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468600</v>
      </c>
      <c r="M24" s="38">
        <f t="shared" ca="1" si="14"/>
        <v>436000</v>
      </c>
      <c r="N24" s="38">
        <f t="shared" ca="1" si="14"/>
        <v>436000</v>
      </c>
      <c r="O24" s="38">
        <f t="shared" ca="1" si="9"/>
        <v>93.043107127614164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436000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2095088</v>
      </c>
      <c r="M28" s="22">
        <f t="shared" ca="1" si="16"/>
        <v>2494783</v>
      </c>
      <c r="N28" s="22">
        <f t="shared" si="16"/>
        <v>2437540.0300000003</v>
      </c>
      <c r="O28" s="22">
        <f t="shared" ref="O28:O37" ca="1" si="17">IF(L28&gt;0,N28*100/L28,0)</f>
        <v>116.34547236202013</v>
      </c>
      <c r="P28" s="22">
        <f t="shared" ref="P28:P37" ca="1" si="18">IF(M28&gt;0,N28*100/M28,0)</f>
        <v>97.705493022840074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2095088</v>
      </c>
      <c r="M30" s="30">
        <f t="shared" ca="1" si="19"/>
        <v>2494783</v>
      </c>
      <c r="N30" s="30">
        <f t="shared" si="19"/>
        <v>2437540.0300000003</v>
      </c>
      <c r="O30" s="30">
        <f t="shared" ca="1" si="17"/>
        <v>116.34547236202013</v>
      </c>
      <c r="P30" s="30">
        <f t="shared" ca="1" si="18"/>
        <v>97.705493022840074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2095088</v>
      </c>
      <c r="M31" s="38">
        <f t="shared" ca="1" si="20"/>
        <v>2494783</v>
      </c>
      <c r="N31" s="38">
        <f t="shared" si="20"/>
        <v>2437540.0300000003</v>
      </c>
      <c r="O31" s="38">
        <f t="shared" ca="1" si="17"/>
        <v>116.34547236202013</v>
      </c>
      <c r="P31" s="38">
        <f t="shared" ca="1" si="18"/>
        <v>97.705493022840074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2095088</v>
      </c>
      <c r="M33" s="45">
        <f t="shared" ca="1" si="21"/>
        <v>2494783</v>
      </c>
      <c r="N33" s="45">
        <f t="shared" si="21"/>
        <v>2437540.0300000003</v>
      </c>
      <c r="O33" s="45">
        <f t="shared" ca="1" si="17"/>
        <v>116.34547236202013</v>
      </c>
      <c r="P33" s="45">
        <f t="shared" ca="1" si="18"/>
        <v>97.705493022840074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4971944</v>
      </c>
      <c r="M37" s="792">
        <f t="shared" ca="1" si="24"/>
        <v>5120453</v>
      </c>
      <c r="N37" s="792">
        <f t="shared" ca="1" si="24"/>
        <v>4437606.05</v>
      </c>
      <c r="O37" s="792">
        <f t="shared" ca="1" si="17"/>
        <v>89.25293708054636</v>
      </c>
      <c r="P37" s="792">
        <f t="shared" ca="1" si="18"/>
        <v>86.664325402459511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704728</v>
      </c>
      <c r="N41" s="85">
        <f t="shared" ca="1" si="25"/>
        <v>617705</v>
      </c>
      <c r="O41" s="85">
        <f t="shared" ref="O41:O49" ca="1" si="26">IF(L41&gt;0,N41*100/L41,0)</f>
        <v>91.488945730624479</v>
      </c>
      <c r="P41" s="85">
        <f t="shared" ref="P41:P49" ca="1" si="27">IF(M41&gt;0,N41*100/M41,0)</f>
        <v>87.651547831219986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704728</v>
      </c>
      <c r="N43" s="92">
        <f t="shared" ca="1" si="28"/>
        <v>617705</v>
      </c>
      <c r="O43" s="92">
        <f t="shared" ca="1" si="26"/>
        <v>91.488945730624479</v>
      </c>
      <c r="P43" s="92">
        <f t="shared" ca="1" si="27"/>
        <v>87.651547831219986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675169</v>
      </c>
      <c r="M44" s="38">
        <f t="shared" ca="1" si="29"/>
        <v>704728</v>
      </c>
      <c r="N44" s="38">
        <f t="shared" ca="1" si="29"/>
        <v>617705</v>
      </c>
      <c r="O44" s="38">
        <f t="shared" ca="1" si="26"/>
        <v>91.488945730624479</v>
      </c>
      <c r="P44" s="38">
        <f t="shared" ca="1" si="27"/>
        <v>87.651547831219986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IFERROR(__xludf.DUMMYFUNCTION("IMPORTRANGE(""https://docs.google.com/spreadsheets/d/1MeEWN-I1oV_STSDYn1IFDPWt_1FKiwhDph83XaGc0o0/edit?usp=sharing"",""งบพรบ!M88"")"),675169)</f>
        <v>675169</v>
      </c>
      <c r="M46" s="45">
        <f ca="1">IFERROR(__xludf.DUMMYFUNCTION("IMPORTRANGE(""https://docs.google.com/spreadsheets/d/1MeEWN-I1oV_STSDYn1IFDPWt_1FKiwhDph83XaGc0o0/edit?usp=sharing"",""งบพรบ!R88"")"),704728)</f>
        <v>704728</v>
      </c>
      <c r="N46" s="45">
        <f ca="1">IFERROR(__xludf.DUMMYFUNCTION("IMPORTRANGE(""https://docs.google.com/spreadsheets/d/1MeEWN-I1oV_STSDYn1IFDPWt_1FKiwhDph83XaGc0o0/edit?usp=sharing"",""งบพรบ!T88"")"),617705)</f>
        <v>617705</v>
      </c>
      <c r="O46" s="45">
        <f t="shared" ca="1" si="26"/>
        <v>91.488945730624479</v>
      </c>
      <c r="P46" s="45">
        <f t="shared" ca="1" si="27"/>
        <v>87.651547831219986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643400</v>
      </c>
      <c r="M53" s="115">
        <f t="shared" ca="1" si="31"/>
        <v>646000</v>
      </c>
      <c r="N53" s="115">
        <f t="shared" ca="1" si="31"/>
        <v>626619.91999999993</v>
      </c>
      <c r="O53" s="115">
        <f t="shared" ref="O53:O61" ca="1" si="32">IF(L53&gt;0,N53*100/L53,0)</f>
        <v>97.391967671743842</v>
      </c>
      <c r="P53" s="115">
        <f t="shared" ref="P53:P61" ca="1" si="33">IF(M53&gt;0,N53*100/M53,0)</f>
        <v>96.999987616099062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643400</v>
      </c>
      <c r="M55" s="122">
        <f t="shared" ca="1" si="34"/>
        <v>646000</v>
      </c>
      <c r="N55" s="122">
        <f t="shared" ca="1" si="34"/>
        <v>626619.91999999993</v>
      </c>
      <c r="O55" s="122">
        <f t="shared" ca="1" si="32"/>
        <v>97.391967671743842</v>
      </c>
      <c r="P55" s="122">
        <f t="shared" ca="1" si="33"/>
        <v>96.999987616099062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532400</v>
      </c>
      <c r="M56" s="38">
        <f t="shared" ca="1" si="35"/>
        <v>540400</v>
      </c>
      <c r="N56" s="38">
        <f t="shared" ca="1" si="35"/>
        <v>521019.92</v>
      </c>
      <c r="O56" s="38">
        <f t="shared" ca="1" si="32"/>
        <v>97.862494365139</v>
      </c>
      <c r="P56" s="38">
        <f t="shared" ca="1" si="33"/>
        <v>96.41375277572169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IFERROR(__xludf.DUMMYFUNCTION("IMPORTRANGE(""https://docs.google.com/spreadsheets/d/1MeEWN-I1oV_STSDYn1IFDPWt_1FKiwhDph83XaGc0o0/edit?usp=sharing"",""งบพรบ!W88"")"),532400)</f>
        <v>532400</v>
      </c>
      <c r="M58" s="45">
        <f ca="1">IFERROR(__xludf.DUMMYFUNCTION("IMPORTRANGE(""https://docs.google.com/spreadsheets/d/1MeEWN-I1oV_STSDYn1IFDPWt_1FKiwhDph83XaGc0o0/edit?usp=sharing"",""งบพรบ!AB88"")"),540400)</f>
        <v>540400</v>
      </c>
      <c r="N58" s="45">
        <f ca="1">IFERROR(__xludf.DUMMYFUNCTION("IMPORTRANGE(""https://docs.google.com/spreadsheets/d/1MeEWN-I1oV_STSDYn1IFDPWt_1FKiwhDph83XaGc0o0/edit?usp=sharing"",""งบพรบ!AD88"")"),521019.92)</f>
        <v>521019.92</v>
      </c>
      <c r="O58" s="45">
        <f t="shared" ca="1" si="32"/>
        <v>97.862494365139</v>
      </c>
      <c r="P58" s="45">
        <f t="shared" ca="1" si="33"/>
        <v>96.41375277572169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111000</v>
      </c>
      <c r="M59" s="38">
        <f t="shared" ca="1" si="36"/>
        <v>105600</v>
      </c>
      <c r="N59" s="38">
        <f t="shared" ca="1" si="36"/>
        <v>105600</v>
      </c>
      <c r="O59" s="38">
        <f t="shared" ca="1" si="32"/>
        <v>95.13513513513513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IFERROR(__xludf.DUMMYFUNCTION("IMPORTRANGE(""https://docs.google.com/spreadsheets/d/1MeEWN-I1oV_STSDYn1IFDPWt_1FKiwhDph83XaGc0o0/edit?usp=sharing"",""งบพรบ!AC88"")"),105600)</f>
        <v>105600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30</v>
      </c>
      <c r="J65" s="143">
        <f t="shared" si="37"/>
        <v>30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384000</v>
      </c>
      <c r="M66" s="154">
        <f t="shared" ca="1" si="39"/>
        <v>409000</v>
      </c>
      <c r="N66" s="154">
        <f t="shared" ca="1" si="39"/>
        <v>327625.76</v>
      </c>
      <c r="O66" s="154">
        <f t="shared" ref="O66:O74" ca="1" si="40">IF(L66&gt;0,N66*100/L66,0)</f>
        <v>85.319208333333336</v>
      </c>
      <c r="P66" s="154">
        <f t="shared" ref="P66:P74" ca="1" si="41">IF(M66&gt;0,N66*100/M66,0)</f>
        <v>80.104097799510996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384000</v>
      </c>
      <c r="M68" s="45">
        <f t="shared" ca="1" si="42"/>
        <v>409000</v>
      </c>
      <c r="N68" s="45">
        <f t="shared" ca="1" si="42"/>
        <v>327625.76</v>
      </c>
      <c r="O68" s="45">
        <f t="shared" ca="1" si="40"/>
        <v>85.319208333333336</v>
      </c>
      <c r="P68" s="45">
        <f t="shared" ca="1" si="41"/>
        <v>80.104097799510996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384000</v>
      </c>
      <c r="M69" s="38">
        <f t="shared" ca="1" si="43"/>
        <v>409000</v>
      </c>
      <c r="N69" s="38">
        <f t="shared" ca="1" si="43"/>
        <v>327625.76</v>
      </c>
      <c r="O69" s="38">
        <f t="shared" ca="1" si="40"/>
        <v>85.319208333333336</v>
      </c>
      <c r="P69" s="38">
        <f t="shared" ca="1" si="41"/>
        <v>80.104097799510996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IFERROR(__xludf.DUMMYFUNCTION("IMPORTRANGE(""https://docs.google.com/spreadsheets/d/1MeEWN-I1oV_STSDYn1IFDPWt_1FKiwhDph83XaGc0o0/edit?usp=sharing"",""งบพรบ!AG88"")"),384000)</f>
        <v>384000</v>
      </c>
      <c r="M71" s="45">
        <f ca="1">IFERROR(__xludf.DUMMYFUNCTION("IMPORTRANGE(""https://docs.google.com/spreadsheets/d/1MeEWN-I1oV_STSDYn1IFDPWt_1FKiwhDph83XaGc0o0/edit?usp=sharing"",""งบพรบ!AL88"")"),409000)</f>
        <v>409000</v>
      </c>
      <c r="N71" s="45">
        <f ca="1">IFERROR(__xludf.DUMMYFUNCTION("IMPORTRANGE(""https://docs.google.com/spreadsheets/d/1MeEWN-I1oV_STSDYn1IFDPWt_1FKiwhDph83XaGc0o0/edit?usp=sharing"",""งบพรบ!AN88"")"),327625.76)</f>
        <v>327625.76</v>
      </c>
      <c r="O71" s="45">
        <f t="shared" ca="1" si="40"/>
        <v>85.319208333333336</v>
      </c>
      <c r="P71" s="45">
        <f t="shared" ca="1" si="41"/>
        <v>80.104097799510996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IFERROR(__xludf.DUMMYFUNCTION("IMPORTRANGE(""https://docs.google.com/spreadsheets/d/1MeEWN-I1oV_STSDYn1IFDPWt_1FKiwhDph83XaGc0o0/edit?usp=sharing"",""งบพรบ!AJ88"")"),0)</f>
        <v>0</v>
      </c>
      <c r="M74" s="45">
        <f ca="1">IFERROR(__xludf.DUMMYFUNCTION("IMPORTRANGE(""https://docs.google.com/spreadsheets/d/1MeEWN-I1oV_STSDYn1IFDPWt_1FKiwhDph83XaGc0o0/edit?usp=sharing"",""งบพรบ!AM88"")"),0)</f>
        <v>0</v>
      </c>
      <c r="N74" s="45">
        <f ca="1">IFERROR(__xludf.DUMMYFUNCTION("IMPORTRANGE(""https://docs.google.com/spreadsheets/d/1MeEWN-I1oV_STSDYn1IFDPWt_1FKiwhDph83XaGc0o0/edit?usp=sharing"",""งบพรบ!AO88"")"),0)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30</v>
      </c>
      <c r="J77" s="37">
        <f t="shared" si="45"/>
        <v>30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IFERROR(__xludf.DUMMYFUNCTION("IMPORTRANGE(""https://docs.google.com/spreadsheets/d/1QqKyyYR6Q21VydFLVH3TRQUabQu_ym0Zz7PgGX0-kHA/edit?usp=sharing"",""แผน!H88"")"),1)</f>
        <v>1</v>
      </c>
      <c r="J78" s="181">
        <v>1</v>
      </c>
      <c r="K78" s="162">
        <f t="shared" ca="1" si="46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IFERROR(__xludf.DUMMYFUNCTION("IMPORTRANGE(""https://docs.google.com/spreadsheets/d/1QqKyyYR6Q21VydFLVH3TRQUabQu_ym0Zz7PgGX0-kHA/edit?usp=sharing"",""แผน!I88"")"),30)</f>
        <v>30</v>
      </c>
      <c r="J79" s="181">
        <v>30</v>
      </c>
      <c r="K79" s="162">
        <f t="shared" ca="1" si="46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IFERROR(__xludf.DUMMYFUNCTION("IMPORTRANGE(""https://docs.google.com/spreadsheets/d/1QqKyyYR6Q21VydFLVH3TRQUabQu_ym0Zz7PgGX0-kHA/edit?usp=sharing"",""แผน!F88"")"),0)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IFERROR(__xludf.DUMMYFUNCTION("IMPORTRANGE(""https://docs.google.com/spreadsheets/d/1QqKyyYR6Q21VydFLVH3TRQUabQu_ym0Zz7PgGX0-kHA/edit?usp=sharing"",""แผน!G88"")"),0)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IFERROR(__xludf.DUMMYFUNCTION("IMPORTRANGE(""https://docs.google.com/spreadsheets/d/1QqKyyYR6Q21VydFLVH3TRQUabQu_ym0Zz7PgGX0-kHA/edit?usp=sharing"",""แผน!D88"")"),0)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IFERROR(__xludf.DUMMYFUNCTION("IMPORTRANGE(""https://docs.google.com/spreadsheets/d/1QqKyyYR6Q21VydFLVH3TRQUabQu_ym0Zz7PgGX0-kHA/edit?usp=sharing"",""แผน!E88"")"),0)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IFERROR(__xludf.DUMMYFUNCTION("IMPORTRANGE(""https://docs.google.com/spreadsheets/d/1QqKyyYR6Q21VydFLVH3TRQUabQu_ym0Zz7PgGX0-kHA/edit?usp=sharing"",""แผน!J88"")"),1)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56040</v>
      </c>
      <c r="M88" s="154">
        <f t="shared" ca="1" si="49"/>
        <v>56040</v>
      </c>
      <c r="N88" s="154">
        <f t="shared" ca="1" si="49"/>
        <v>51190</v>
      </c>
      <c r="O88" s="154">
        <f t="shared" ref="O88:O96" ca="1" si="50">IF(L88&gt;0,N88*100/L88,0)</f>
        <v>91.345467523197712</v>
      </c>
      <c r="P88" s="154">
        <f t="shared" ref="P88:P96" ca="1" si="51">IF(M88&gt;0,N88*100/M88,0)</f>
        <v>91.345467523197712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56040</v>
      </c>
      <c r="M90" s="45">
        <f t="shared" ca="1" si="52"/>
        <v>56040</v>
      </c>
      <c r="N90" s="45">
        <f t="shared" ca="1" si="52"/>
        <v>51190</v>
      </c>
      <c r="O90" s="45">
        <f t="shared" ca="1" si="50"/>
        <v>91.345467523197712</v>
      </c>
      <c r="P90" s="45">
        <f t="shared" ca="1" si="51"/>
        <v>91.345467523197712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56040</v>
      </c>
      <c r="M91" s="38">
        <f t="shared" ca="1" si="53"/>
        <v>56040</v>
      </c>
      <c r="N91" s="38">
        <f t="shared" ca="1" si="53"/>
        <v>51190</v>
      </c>
      <c r="O91" s="38">
        <f t="shared" ca="1" si="50"/>
        <v>91.345467523197712</v>
      </c>
      <c r="P91" s="38">
        <f t="shared" ca="1" si="51"/>
        <v>91.345467523197712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IFERROR(__xludf.DUMMYFUNCTION("IMPORTRANGE(""https://docs.google.com/spreadsheets/d/1MeEWN-I1oV_STSDYn1IFDPWt_1FKiwhDph83XaGc0o0/edit?usp=sharing"",""งบพรบ!AQ88"")"),56040)</f>
        <v>56040</v>
      </c>
      <c r="M93" s="45">
        <f ca="1">IFERROR(__xludf.DUMMYFUNCTION("IMPORTRANGE(""https://docs.google.com/spreadsheets/d/1MeEWN-I1oV_STSDYn1IFDPWt_1FKiwhDph83XaGc0o0/edit?usp=sharing"",""งบพรบ!AV88"")"),56040)</f>
        <v>56040</v>
      </c>
      <c r="N93" s="45">
        <f ca="1">IFERROR(__xludf.DUMMYFUNCTION("IMPORTRANGE(""https://docs.google.com/spreadsheets/d/1MeEWN-I1oV_STSDYn1IFDPWt_1FKiwhDph83XaGc0o0/edit?usp=sharing"",""งบพรบ!AX88"")"),51190)</f>
        <v>51190</v>
      </c>
      <c r="O93" s="45">
        <f t="shared" ca="1" si="50"/>
        <v>91.345467523197712</v>
      </c>
      <c r="P93" s="45">
        <f t="shared" ca="1" si="51"/>
        <v>91.345467523197712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IFERROR(__xludf.DUMMYFUNCTION("IMPORTRANGE(""https://docs.google.com/spreadsheets/d/1MeEWN-I1oV_STSDYn1IFDPWt_1FKiwhDph83XaGc0o0/edit?usp=sharing"",""งบพรบ!AT88"")"),0)</f>
        <v>0</v>
      </c>
      <c r="M96" s="45">
        <f ca="1">IFERROR(__xludf.DUMMYFUNCTION("IMPORTRANGE(""https://docs.google.com/spreadsheets/d/1MeEWN-I1oV_STSDYn1IFDPWt_1FKiwhDph83XaGc0o0/edit?usp=sharing"",""งบพรบ!AW88"")"),0)</f>
        <v>0</v>
      </c>
      <c r="N96" s="45">
        <f ca="1">IFERROR(__xludf.DUMMYFUNCTION("IMPORTRANGE(""https://docs.google.com/spreadsheets/d/1MeEWN-I1oV_STSDYn1IFDPWt_1FKiwhDph83XaGc0o0/edit?usp=sharing"",""งบพรบ!AY88"")"),0)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IFERROR(__xludf.DUMMYFUNCTION("IMPORTRANGE(""https://docs.google.com/spreadsheets/d/1QqKyyYR6Q21VydFLVH3TRQUabQu_ym0Zz7PgGX0-kHA/edit?usp=sharing"",""แผน!K88"")"),30)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IFERROR(__xludf.DUMMYFUNCTION("IMPORTRANGE(""https://docs.google.com/spreadsheets/d/1QqKyyYR6Q21VydFLVH3TRQUabQu_ym0Zz7PgGX0-kHA/edit?usp=sharing"",""แผน!L88"")"),10)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IFERROR(__xludf.DUMMYFUNCTION("IMPORTRANGE(""https://docs.google.com/spreadsheets/d/1QqKyyYR6Q21VydFLVH3TRQUabQu_ym0Zz7PgGX0-kHA/edit?usp=sharing"",""แผน!M88"")"),1)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IFERROR(__xludf.DUMMYFUNCTION("IMPORTRANGE(""https://docs.google.com/spreadsheets/d/1QqKyyYR6Q21VydFLVH3TRQUabQu_ym0Zz7PgGX0-kHA/edit?usp=sharing"",""แผน!N88"")"),30)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IFERROR(__xludf.DUMMYFUNCTION("IMPORTRANGE(""https://docs.google.com/spreadsheets/d/1QqKyyYR6Q21VydFLVH3TRQUabQu_ym0Zz7PgGX0-kHA/edit?usp=sharing"",""แผน!O88"")"),10)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IFERROR(__xludf.DUMMYFUNCTION("IMPORTRANGE(""https://docs.google.com/spreadsheets/d/1QqKyyYR6Q21VydFLVH3TRQUabQu_ym0Zz7PgGX0-kHA/edit?usp=sharing"",""แผน!O88"")"),10)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IFERROR(__xludf.DUMMYFUNCTION("IMPORTRANGE(""https://docs.google.com/spreadsheets/d/1QqKyyYR6Q21VydFLVH3TRQUabQu_ym0Zz7PgGX0-kHA/edit?usp=sharing"",""แผน!P88"")"),1)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IFERROR(__xludf.DUMMYFUNCTION("IMPORTRANGE(""https://docs.google.com/spreadsheets/d/1QqKyyYR6Q21VydFLVH3TRQUabQu_ym0Zz7PgGX0-kHA/edit?usp=sharing"",""แผน!P88"")"),1)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IFERROR(__xludf.DUMMYFUNCTION("IMPORTRANGE(""https://docs.google.com/spreadsheets/d/1QqKyyYR6Q21VydFLVH3TRQUabQu_ym0Zz7PgGX0-kHA/edit?usp=sharing"",""แผน!Q88"")"),0)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IFERROR(__xludf.DUMMYFUNCTION("IMPORTRANGE(""https://docs.google.com/spreadsheets/d/1QqKyyYR6Q21VydFLVH3TRQUabQu_ym0Zz7PgGX0-kHA/edit?usp=sharing"",""แผน!Q88"")"),0)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IFERROR(__xludf.DUMMYFUNCTION("IMPORTRANGE(""https://docs.google.com/spreadsheets/d/1QqKyyYR6Q21VydFLVH3TRQUabQu_ym0Zz7PgGX0-kHA/edit?usp=sharing"",""แผน!R88"")"),10)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IFERROR(__xludf.DUMMYFUNCTION("IMPORTRANGE(""https://docs.google.com/spreadsheets/d/1QqKyyYR6Q21VydFLVH3TRQUabQu_ym0Zz7PgGX0-kHA/edit?usp=sharing"",""แผน!R88"")"),10)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IFERROR(__xludf.DUMMYFUNCTION("IMPORTRANGE(""https://docs.google.com/spreadsheets/d/1QqKyyYR6Q21VydFLVH3TRQUabQu_ym0Zz7PgGX0-kHA/edit?usp=sharing"",""แผน!R88"")"),10)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IFERROR(__xludf.DUMMYFUNCTION("IMPORTRANGE(""https://docs.google.com/spreadsheets/d/1QqKyyYR6Q21VydFLVH3TRQUabQu_ym0Zz7PgGX0-kHA/edit?usp=sharing"",""แผน!S88"")"),1)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IFERROR(__xludf.DUMMYFUNCTION("IMPORTRANGE(""https://docs.google.com/spreadsheets/d/1QqKyyYR6Q21VydFLVH3TRQUabQu_ym0Zz7PgGX0-kHA/edit?usp=sharing"",""แผน!T88"")"),0)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J438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IFERROR(__xludf.DUMMYFUNCTION("IMPORTRANGE(""https://docs.google.com/spreadsheets/d/1MeEWN-I1oV_STSDYn1IFDPWt_1FKiwhDph83XaGc0o0/edit?usp=sharing"",""งบพรบ!BA88"")"),0)</f>
        <v>0</v>
      </c>
      <c r="M124" s="45">
        <f ca="1">IFERROR(__xludf.DUMMYFUNCTION("IMPORTRANGE(""https://docs.google.com/spreadsheets/d/1MeEWN-I1oV_STSDYn1IFDPWt_1FKiwhDph83XaGc0o0/edit?usp=sharing"",""งบพรบ!BF88"")"),0)</f>
        <v>0</v>
      </c>
      <c r="N124" s="45">
        <f ca="1">IFERROR(__xludf.DUMMYFUNCTION("IMPORTRANGE(""https://docs.google.com/spreadsheets/d/1MeEWN-I1oV_STSDYn1IFDPWt_1FKiwhDph83XaGc0o0/edit?usp=sharing"",""งบพรบ!BH88"")"),0)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IFERROR(__xludf.DUMMYFUNCTION("IMPORTRANGE(""https://docs.google.com/spreadsheets/d/1MeEWN-I1oV_STSDYn1IFDPWt_1FKiwhDph83XaGc0o0/edit?usp=sharing"",""งบพรบ!BD88"")"),0)</f>
        <v>0</v>
      </c>
      <c r="M127" s="45">
        <f ca="1">IFERROR(__xludf.DUMMYFUNCTION("IMPORTRANGE(""https://docs.google.com/spreadsheets/d/1MeEWN-I1oV_STSDYn1IFDPWt_1FKiwhDph83XaGc0o0/edit?usp=sharing"",""งบพรบ!BG88"")"),0)</f>
        <v>0</v>
      </c>
      <c r="N127" s="45">
        <f ca="1">IFERROR(__xludf.DUMMYFUNCTION("IMPORTRANGE(""https://docs.google.com/spreadsheets/d/1MeEWN-I1oV_STSDYn1IFDPWt_1FKiwhDph83XaGc0o0/edit?usp=sharing"",""งบพรบ!BI88"")"),0)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2</v>
      </c>
      <c r="J130" s="143">
        <f t="shared" si="66"/>
        <v>2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20</v>
      </c>
      <c r="J131" s="143">
        <f t="shared" ca="1" si="68"/>
        <v>20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911610</v>
      </c>
      <c r="M132" s="154">
        <f t="shared" ca="1" si="69"/>
        <v>905610</v>
      </c>
      <c r="N132" s="154">
        <f t="shared" ca="1" si="69"/>
        <v>783164.13</v>
      </c>
      <c r="O132" s="154">
        <f t="shared" ref="O132:O140" ca="1" si="70">IF(L132&gt;0,N132*100/L132,0)</f>
        <v>85.909997696383329</v>
      </c>
      <c r="P132" s="154">
        <f t="shared" ref="P132:P140" ca="1" si="71">IF(M132&gt;0,N132*100/M132,0)</f>
        <v>86.4791830920595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911610</v>
      </c>
      <c r="M134" s="45">
        <f t="shared" ca="1" si="72"/>
        <v>905610</v>
      </c>
      <c r="N134" s="45">
        <f t="shared" ca="1" si="72"/>
        <v>783164.13</v>
      </c>
      <c r="O134" s="45">
        <f t="shared" ca="1" si="70"/>
        <v>85.909997696383329</v>
      </c>
      <c r="P134" s="45">
        <f t="shared" ca="1" si="71"/>
        <v>86.4791830920595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705610</v>
      </c>
      <c r="M135" s="38">
        <f t="shared" ca="1" si="73"/>
        <v>705610</v>
      </c>
      <c r="N135" s="38">
        <f t="shared" ca="1" si="73"/>
        <v>583164.13</v>
      </c>
      <c r="O135" s="38">
        <f t="shared" ca="1" si="70"/>
        <v>82.646806309434396</v>
      </c>
      <c r="P135" s="38">
        <f t="shared" ca="1" si="71"/>
        <v>82.646806309434396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IFERROR(__xludf.DUMMYFUNCTION("IMPORTRANGE(""https://docs.google.com/spreadsheets/d/1MeEWN-I1oV_STSDYn1IFDPWt_1FKiwhDph83XaGc0o0/edit?usp=sharing"",""งบพรบ!BK88"")"),705610)</f>
        <v>705610</v>
      </c>
      <c r="M137" s="45">
        <f ca="1">IFERROR(__xludf.DUMMYFUNCTION("IMPORTRANGE(""https://docs.google.com/spreadsheets/d/1MeEWN-I1oV_STSDYn1IFDPWt_1FKiwhDph83XaGc0o0/edit?usp=sharing"",""งบพรบ!BP88"")"),705610)</f>
        <v>705610</v>
      </c>
      <c r="N137" s="45">
        <f ca="1">IFERROR(__xludf.DUMMYFUNCTION("IMPORTRANGE(""https://docs.google.com/spreadsheets/d/1MeEWN-I1oV_STSDYn1IFDPWt_1FKiwhDph83XaGc0o0/edit?usp=sharing"",""งบพรบ!BR88"")"),583164.13)</f>
        <v>583164.13</v>
      </c>
      <c r="O137" s="45">
        <f t="shared" ca="1" si="70"/>
        <v>82.646806309434396</v>
      </c>
      <c r="P137" s="45">
        <f t="shared" ca="1" si="71"/>
        <v>82.646806309434396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206000</v>
      </c>
      <c r="M138" s="38">
        <f t="shared" ca="1" si="74"/>
        <v>200000</v>
      </c>
      <c r="N138" s="38">
        <f t="shared" ca="1" si="74"/>
        <v>200000</v>
      </c>
      <c r="O138" s="38">
        <f t="shared" ca="1" si="70"/>
        <v>97.087378640776706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IFERROR(__xludf.DUMMYFUNCTION("IMPORTRANGE(""https://docs.google.com/spreadsheets/d/1MeEWN-I1oV_STSDYn1IFDPWt_1FKiwhDph83XaGc0o0/edit?usp=sharing"",""งบพรบ!BN88"")"),206000)</f>
        <v>206000</v>
      </c>
      <c r="M140" s="45">
        <f ca="1">IFERROR(__xludf.DUMMYFUNCTION("IMPORTRANGE(""https://docs.google.com/spreadsheets/d/1MeEWN-I1oV_STSDYn1IFDPWt_1FKiwhDph83XaGc0o0/edit?usp=sharing"",""งบพรบ!BQ88"")"),200000)</f>
        <v>200000</v>
      </c>
      <c r="N140" s="45">
        <f ca="1">IFERROR(__xludf.DUMMYFUNCTION("IMPORTRANGE(""https://docs.google.com/spreadsheets/d/1MeEWN-I1oV_STSDYn1IFDPWt_1FKiwhDph83XaGc0o0/edit?usp=sharing"",""งบพรบ!BS88"")"),200000)</f>
        <v>200000</v>
      </c>
      <c r="O140" s="45">
        <f t="shared" ca="1" si="70"/>
        <v>97.087378640776706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20</v>
      </c>
      <c r="J143" s="37">
        <f ca="1">IF(AND(J144&gt;=I144,J145&gt;=I145),J145,0)</f>
        <v>20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IFERROR(__xludf.DUMMYFUNCTION("IMPORTRANGE(""https://docs.google.com/spreadsheets/d/1QqKyyYR6Q21VydFLVH3TRQUabQu_ym0Zz7PgGX0-kHA/edit?usp=sharing"",""แผน!U88"")"),10)</f>
        <v>10</v>
      </c>
      <c r="J144" s="181">
        <v>10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IFERROR(__xludf.DUMMYFUNCTION("IMPORTRANGE(""https://docs.google.com/spreadsheets/d/1QqKyyYR6Q21VydFLVH3TRQUabQu_ym0Zz7PgGX0-kHA/edit?usp=sharing"",""แผน!V88"")"),20)</f>
        <v>20</v>
      </c>
      <c r="J145" s="181">
        <v>20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IFERROR(__xludf.DUMMYFUNCTION("IMPORTRANGE(""https://docs.google.com/spreadsheets/d/1QqKyyYR6Q21VydFLVH3TRQUabQu_ym0Zz7PgGX0-kHA/edit?usp=sharing"",""แผน!W88"")"),2)</f>
        <v>2</v>
      </c>
      <c r="J146" s="181">
        <v>2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10000</v>
      </c>
      <c r="N149" s="154">
        <f t="shared" ca="1" si="77"/>
        <v>10000</v>
      </c>
      <c r="O149" s="154">
        <f t="shared" ref="O149:O157" ca="1" si="78">IF(L149&gt;0,N149*100/L149,0)</f>
        <v>100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10000</v>
      </c>
      <c r="N151" s="45">
        <f t="shared" ca="1" si="80"/>
        <v>10000</v>
      </c>
      <c r="O151" s="45">
        <f t="shared" ca="1" si="78"/>
        <v>100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10000</v>
      </c>
      <c r="N152" s="38">
        <f t="shared" ca="1" si="81"/>
        <v>10000</v>
      </c>
      <c r="O152" s="38">
        <f t="shared" ca="1" si="78"/>
        <v>100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IFERROR(__xludf.DUMMYFUNCTION("IMPORTRANGE(""https://docs.google.com/spreadsheets/d/1MeEWN-I1oV_STSDYn1IFDPWt_1FKiwhDph83XaGc0o0/edit?usp=sharing"",""งบพรบ!BU88"")"),10000)</f>
        <v>10000</v>
      </c>
      <c r="M154" s="45">
        <f ca="1">IFERROR(__xludf.DUMMYFUNCTION("IMPORTRANGE(""https://docs.google.com/spreadsheets/d/1MeEWN-I1oV_STSDYn1IFDPWt_1FKiwhDph83XaGc0o0/edit?usp=sharing"",""งบพรบ!BZ88"")"),10000)</f>
        <v>10000</v>
      </c>
      <c r="N154" s="45">
        <f ca="1">IFERROR(__xludf.DUMMYFUNCTION("IMPORTRANGE(""https://docs.google.com/spreadsheets/d/1MeEWN-I1oV_STSDYn1IFDPWt_1FKiwhDph83XaGc0o0/edit?usp=sharing"",""งบพรบ!CB88"")"),10000)</f>
        <v>10000</v>
      </c>
      <c r="O154" s="45">
        <f t="shared" ca="1" si="78"/>
        <v>100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IFERROR(__xludf.DUMMYFUNCTION("IMPORTRANGE(""https://docs.google.com/spreadsheets/d/1MeEWN-I1oV_STSDYn1IFDPWt_1FKiwhDph83XaGc0o0/edit?usp=sharing"",""งบพรบ!BX88"")"),0)</f>
        <v>0</v>
      </c>
      <c r="M157" s="45">
        <f ca="1">IFERROR(__xludf.DUMMYFUNCTION("IMPORTRANGE(""https://docs.google.com/spreadsheets/d/1MeEWN-I1oV_STSDYn1IFDPWt_1FKiwhDph83XaGc0o0/edit?usp=sharing"",""งบพรบ!CA88"")"),0)</f>
        <v>0</v>
      </c>
      <c r="N157" s="45">
        <f ca="1">IFERROR(__xludf.DUMMYFUNCTION("IMPORTRANGE(""https://docs.google.com/spreadsheets/d/1MeEWN-I1oV_STSDYn1IFDPWt_1FKiwhDph83XaGc0o0/edit?usp=sharing"",""งบพรบ!CC88"")"),0)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IFERROR(__xludf.DUMMYFUNCTION("IMPORTRANGE(""https://docs.google.com/spreadsheets/d/1QqKyyYR6Q21VydFLVH3TRQUabQu_ym0Zz7PgGX0-kHA/edit?usp=sharing"",""แผน!X88"")"),20)</f>
        <v>20</v>
      </c>
      <c r="J159" s="181">
        <v>20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38105</v>
      </c>
      <c r="N165" s="154">
        <f t="shared" ca="1" si="84"/>
        <v>38105</v>
      </c>
      <c r="O165" s="154">
        <f t="shared" ref="O165:O173" ca="1" si="85">IF(L165&gt;0,N165*100/L165,0)</f>
        <v>172.77261391974608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38105</v>
      </c>
      <c r="N167" s="45">
        <f t="shared" ca="1" si="87"/>
        <v>38105</v>
      </c>
      <c r="O167" s="45">
        <f t="shared" ca="1" si="85"/>
        <v>172.77261391974608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38105</v>
      </c>
      <c r="N168" s="38">
        <f t="shared" ca="1" si="88"/>
        <v>38105</v>
      </c>
      <c r="O168" s="38">
        <f t="shared" ca="1" si="85"/>
        <v>172.77261391974608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IFERROR(__xludf.DUMMYFUNCTION("IMPORTRANGE(""https://docs.google.com/spreadsheets/d/1MeEWN-I1oV_STSDYn1IFDPWt_1FKiwhDph83XaGc0o0/edit?usp=sharing"",""งบพรบ!CE88"")"),22055)</f>
        <v>22055</v>
      </c>
      <c r="M170" s="45">
        <f ca="1">IFERROR(__xludf.DUMMYFUNCTION("IMPORTRANGE(""https://docs.google.com/spreadsheets/d/1MeEWN-I1oV_STSDYn1IFDPWt_1FKiwhDph83XaGc0o0/edit?usp=sharing"",""งบพรบ!CJ88"")"),38105)</f>
        <v>38105</v>
      </c>
      <c r="N170" s="45">
        <f ca="1">IFERROR(__xludf.DUMMYFUNCTION("IMPORTRANGE(""https://docs.google.com/spreadsheets/d/1MeEWN-I1oV_STSDYn1IFDPWt_1FKiwhDph83XaGc0o0/edit?usp=sharing"",""งบพรบ!CL88"")"),38105)</f>
        <v>38105</v>
      </c>
      <c r="O170" s="45">
        <f t="shared" ca="1" si="85"/>
        <v>172.77261391974608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IFERROR(__xludf.DUMMYFUNCTION("IMPORTRANGE(""https://docs.google.com/spreadsheets/d/1MeEWN-I1oV_STSDYn1IFDPWt_1FKiwhDph83XaGc0o0/edit?usp=sharing"",""งบพรบ!CH88"")"),0)</f>
        <v>0</v>
      </c>
      <c r="M173" s="45">
        <f ca="1">IFERROR(__xludf.DUMMYFUNCTION("IMPORTRANGE(""https://docs.google.com/spreadsheets/d/1MeEWN-I1oV_STSDYn1IFDPWt_1FKiwhDph83XaGc0o0/edit?usp=sharing"",""งบพรบ!CK88"")"),0)</f>
        <v>0</v>
      </c>
      <c r="N173" s="45">
        <f ca="1">IFERROR(__xludf.DUMMYFUNCTION("IMPORTRANGE(""https://docs.google.com/spreadsheets/d/1MeEWN-I1oV_STSDYn1IFDPWt_1FKiwhDph83XaGc0o0/edit?usp=sharing"",""งบพรบ!CM88"")"),0)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IFERROR(__xludf.DUMMYFUNCTION("IMPORTRANGE(""https://docs.google.com/spreadsheets/d/1QqKyyYR6Q21VydFLVH3TRQUabQu_ym0Zz7PgGX0-kHA/edit?usp=sharing"",""แผน!Y88"")"),11)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64500</v>
      </c>
      <c r="M181" s="154">
        <f t="shared" ca="1" si="92"/>
        <v>64500</v>
      </c>
      <c r="N181" s="154">
        <f t="shared" ca="1" si="92"/>
        <v>60560</v>
      </c>
      <c r="O181" s="154">
        <f t="shared" ref="O181:O189" ca="1" si="93">IF(L181&gt;0,N181*100/L181,0)</f>
        <v>93.891472868217051</v>
      </c>
      <c r="P181" s="154">
        <f t="shared" ref="P181:P189" ca="1" si="94">IF(M181&gt;0,N181*100/M181,0)</f>
        <v>93.891472868217051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64500</v>
      </c>
      <c r="M183" s="45">
        <f t="shared" ca="1" si="95"/>
        <v>64500</v>
      </c>
      <c r="N183" s="45">
        <f t="shared" ca="1" si="95"/>
        <v>60560</v>
      </c>
      <c r="O183" s="45">
        <f t="shared" ca="1" si="93"/>
        <v>93.891472868217051</v>
      </c>
      <c r="P183" s="45">
        <f t="shared" ca="1" si="94"/>
        <v>93.891472868217051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64500</v>
      </c>
      <c r="M184" s="38">
        <f t="shared" ca="1" si="96"/>
        <v>64500</v>
      </c>
      <c r="N184" s="38">
        <f t="shared" ca="1" si="96"/>
        <v>60560</v>
      </c>
      <c r="O184" s="38">
        <f t="shared" ca="1" si="93"/>
        <v>93.891472868217051</v>
      </c>
      <c r="P184" s="38">
        <f t="shared" ca="1" si="94"/>
        <v>93.891472868217051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IFERROR(__xludf.DUMMYFUNCTION("IMPORTRANGE(""https://docs.google.com/spreadsheets/d/1MeEWN-I1oV_STSDYn1IFDPWt_1FKiwhDph83XaGc0o0/edit?usp=sharing"",""งบพรบ!CO88"")"),64500)</f>
        <v>64500</v>
      </c>
      <c r="M186" s="45">
        <f ca="1">IFERROR(__xludf.DUMMYFUNCTION("IMPORTRANGE(""https://docs.google.com/spreadsheets/d/1MeEWN-I1oV_STSDYn1IFDPWt_1FKiwhDph83XaGc0o0/edit?usp=sharing"",""งบพรบ!CT88"")"),64500)</f>
        <v>64500</v>
      </c>
      <c r="N186" s="45">
        <f ca="1">IFERROR(__xludf.DUMMYFUNCTION("IMPORTRANGE(""https://docs.google.com/spreadsheets/d/1MeEWN-I1oV_STSDYn1IFDPWt_1FKiwhDph83XaGc0o0/edit?usp=sharing"",""งบพรบ!CV88"")"),60560)</f>
        <v>60560</v>
      </c>
      <c r="O186" s="45">
        <f t="shared" ca="1" si="93"/>
        <v>93.891472868217051</v>
      </c>
      <c r="P186" s="45">
        <f t="shared" ca="1" si="94"/>
        <v>93.891472868217051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IFERROR(__xludf.DUMMYFUNCTION("IMPORTRANGE(""https://docs.google.com/spreadsheets/d/1MeEWN-I1oV_STSDYn1IFDPWt_1FKiwhDph83XaGc0o0/edit?usp=sharing"",""งบพรบ!CR88"")"),0)</f>
        <v>0</v>
      </c>
      <c r="M189" s="45">
        <f ca="1">IFERROR(__xludf.DUMMYFUNCTION("IMPORTRANGE(""https://docs.google.com/spreadsheets/d/1MeEWN-I1oV_STSDYn1IFDPWt_1FKiwhDph83XaGc0o0/edit?usp=sharing"",""งบพรบ!CU88"")"),0)</f>
        <v>0</v>
      </c>
      <c r="N189" s="45">
        <f ca="1">IFERROR(__xludf.DUMMYFUNCTION("IMPORTRANGE(""https://docs.google.com/spreadsheets/d/1MeEWN-I1oV_STSDYn1IFDPWt_1FKiwhDph83XaGc0o0/edit?usp=sharing"",""งบพรบ!CW88"")"),0)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IFERROR(__xludf.DUMMYFUNCTION("IMPORTRANGE(""https://docs.google.com/spreadsheets/d/1QqKyyYR6Q21VydFLVH3TRQUabQu_ym0Zz7PgGX0-kHA/edit?usp=sharing"",""แผน!Z88"")"),6000)</f>
        <v>6000</v>
      </c>
      <c r="M191" s="154"/>
      <c r="N191" s="264">
        <v>3760</v>
      </c>
      <c r="O191" s="154">
        <f ca="1">IF(L191&gt;0,N191*100/L191,0)</f>
        <v>62.666666666666664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IFERROR(__xludf.DUMMYFUNCTION("IMPORTRANGE(""https://docs.google.com/spreadsheets/d/1QqKyyYR6Q21VydFLVH3TRQUabQu_ym0Zz7PgGX0-kHA/edit?usp=sharing"",""แผน!AC88"")"),4)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75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75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4</v>
      </c>
      <c r="J197" s="260">
        <f t="shared" si="99"/>
        <v>4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52000</v>
      </c>
      <c r="M198" s="154"/>
      <c r="N198" s="154">
        <f>N199+N200+N201+N202</f>
        <v>52000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IFERROR(__xludf.DUMMYFUNCTION("IMPORTRANGE(""https://docs.google.com/spreadsheets/d/1QqKyyYR6Q21VydFLVH3TRQUabQu_ym0Zz7PgGX0-kHA/edit?usp=sharing"",""แผน!AE88"")"),4000)</f>
        <v>4000</v>
      </c>
      <c r="M199" s="38"/>
      <c r="N199" s="270">
        <v>4000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IFERROR(__xludf.DUMMYFUNCTION("IMPORTRANGE(""https://docs.google.com/spreadsheets/d/1QqKyyYR6Q21VydFLVH3TRQUabQu_ym0Zz7PgGX0-kHA/edit?usp=sharing"",""แผน!AF88"")"),32000)</f>
        <v>32000</v>
      </c>
      <c r="M200" s="38"/>
      <c r="N200" s="270">
        <v>32000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IFERROR(__xludf.DUMMYFUNCTION("IMPORTRANGE(""https://docs.google.com/spreadsheets/d/1QqKyyYR6Q21VydFLVH3TRQUabQu_ym0Zz7PgGX0-kHA/edit?usp=sharing"",""แผน!AG88"")"),16000)</f>
        <v>16000</v>
      </c>
      <c r="M201" s="38"/>
      <c r="N201" s="270">
        <v>16000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IFERROR(__xludf.DUMMYFUNCTION("IMPORTRANGE(""https://docs.google.com/spreadsheets/d/1QqKyyYR6Q21VydFLVH3TRQUabQu_ym0Zz7PgGX0-kHA/edit?usp=sharing"",""แผน!AH88"")"),0)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IFERROR(__xludf.DUMMYFUNCTION("IMPORTRANGE(""https://docs.google.com/spreadsheets/d/1QqKyyYR6Q21VydFLVH3TRQUabQu_ym0Zz7PgGX0-kHA/edit?usp=sharing"",""แผน!AI88"")"),4)</f>
        <v>4</v>
      </c>
      <c r="J204" s="181">
        <v>4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4</v>
      </c>
      <c r="J206" s="181">
        <v>4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IFERROR(__xludf.DUMMYFUNCTION("IMPORTRANGE(""https://docs.google.com/spreadsheets/d/1QqKyyYR6Q21VydFLVH3TRQUabQu_ym0Zz7PgGX0-kHA/edit?usp=sharing"",""แผน!AK88"")"),0)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IFERROR(__xludf.DUMMYFUNCTION("IMPORTRANGE(""https://docs.google.com/spreadsheets/d/1QqKyyYR6Q21VydFLVH3TRQUabQu_ym0Zz7PgGX0-kHA/edit?usp=sharing"",""แผน!AL88"")"),0)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IFERROR(__xludf.DUMMYFUNCTION("IMPORTRANGE(""https://docs.google.com/spreadsheets/d/1QqKyyYR6Q21VydFLVH3TRQUabQu_ym0Zz7PgGX0-kHA/edit?usp=sharing"",""แผน!AM88"")"),0)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IFERROR(__xludf.DUMMYFUNCTION("IMPORTRANGE(""https://docs.google.com/spreadsheets/d/1QqKyyYR6Q21VydFLVH3TRQUabQu_ym0Zz7PgGX0-kHA/edit?usp=sharing"",""แผน!AN88"")"),0)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IFERROR(__xludf.DUMMYFUNCTION("IMPORTRANGE(""https://docs.google.com/spreadsheets/d/1QqKyyYR6Q21VydFLVH3TRQUabQu_ym0Zz7PgGX0-kHA/edit?usp=sharing"",""แผน!AN88"")"),0)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10000</v>
      </c>
      <c r="J216" s="260">
        <f t="shared" si="103"/>
        <v>10000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6500</v>
      </c>
      <c r="M217" s="154"/>
      <c r="N217" s="154">
        <f>N218+N219+N220</f>
        <v>4040</v>
      </c>
      <c r="O217" s="154">
        <f ca="1">IF(L217&gt;0,N217*100/L217,0)</f>
        <v>62.153846153846153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IFERROR(__xludf.DUMMYFUNCTION("IMPORTRANGE(""https://docs.google.com/spreadsheets/d/1QqKyyYR6Q21VydFLVH3TRQUabQu_ym0Zz7PgGX0-kHA/edit?usp=sharing"",""แผน!AP88"")"),3000)</f>
        <v>3000</v>
      </c>
      <c r="M218" s="38"/>
      <c r="N218" s="270">
        <v>540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IFERROR(__xludf.DUMMYFUNCTION("IMPORTRANGE(""https://docs.google.com/spreadsheets/d/1QqKyyYR6Q21VydFLVH3TRQUabQu_ym0Zz7PgGX0-kHA/edit?usp=sharing"",""แผน!AQ88"")"),3500)</f>
        <v>3500</v>
      </c>
      <c r="M219" s="38"/>
      <c r="N219" s="270">
        <v>3500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IFERROR(__xludf.DUMMYFUNCTION("IMPORTRANGE(""https://docs.google.com/spreadsheets/d/1QqKyyYR6Q21VydFLVH3TRQUabQu_ym0Zz7PgGX0-kHA/edit?usp=sharing"",""แผน!AR88"")"),0)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IFERROR(__xludf.DUMMYFUNCTION("IMPORTRANGE(""https://docs.google.com/spreadsheets/d/1QqKyyYR6Q21VydFLVH3TRQUabQu_ym0Zz7PgGX0-kHA/edit?usp=sharing"",""แผน!AT88"")"),10000)</f>
        <v>10000</v>
      </c>
      <c r="J223" s="181">
        <v>10000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IFERROR(__xludf.DUMMYFUNCTION("IMPORTRANGE(""https://docs.google.com/spreadsheets/d/1QqKyyYR6Q21VydFLVH3TRQUabQu_ym0Zz7PgGX0-kHA/edit?usp=sharing"",""แผน!AT88"")"),10000)</f>
        <v>10000</v>
      </c>
      <c r="J224" s="181">
        <v>10000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IFERROR(__xludf.DUMMYFUNCTION("IMPORTRANGE(""https://docs.google.com/spreadsheets/d/1QqKyyYR6Q21VydFLVH3TRQUabQu_ym0Zz7PgGX0-kHA/edit?usp=sharing"",""แผน!AS88"")"),0)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IFERROR(__xludf.DUMMYFUNCTION("IMPORTRANGE(""https://docs.google.com/spreadsheets/d/1QqKyyYR6Q21VydFLVH3TRQUabQu_ym0Zz7PgGX0-kHA/edit?usp=sharing"",""แผน!AV88"")"),0)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IFERROR(__xludf.DUMMYFUNCTION("IMPORTRANGE(""https://docs.google.com/spreadsheets/d/1QqKyyYR6Q21VydFLVH3TRQUabQu_ym0Zz7PgGX0-kHA/edit?usp=sharing"",""แผน!AW88"")"),0)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IFERROR(__xludf.DUMMYFUNCTION("IMPORTRANGE(""https://docs.google.com/spreadsheets/d/1QqKyyYR6Q21VydFLVH3TRQUabQu_ym0Zz7PgGX0-kHA/edit?usp=sharing"",""แผน!AX88"")"),0)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IFERROR(__xludf.DUMMYFUNCTION("IMPORTRANGE(""https://docs.google.com/spreadsheets/d/1QqKyyYR6Q21VydFLVH3TRQUabQu_ym0Zz7PgGX0-kHA/edit?usp=sharing"",""แผน!AY88"")"),0)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IFERROR(__xludf.DUMMYFUNCTION("IMPORTRANGE(""https://docs.google.com/spreadsheets/d/1QqKyyYR6Q21VydFLVH3TRQUabQu_ym0Zz7PgGX0-kHA/edit?usp=sharing"",""แผน!BE88"")"),0)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IFERROR(__xludf.DUMMYFUNCTION("IMPORTRANGE(""https://docs.google.com/spreadsheets/d/1QqKyyYR6Q21VydFLVH3TRQUabQu_ym0Zz7PgGX0-kHA/edit?usp=sharing"",""แผน!AZ88"")"),0)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IFERROR(__xludf.DUMMYFUNCTION("IMPORTRANGE(""https://docs.google.com/spreadsheets/d/1QqKyyYR6Q21VydFLVH3TRQUabQu_ym0Zz7PgGX0-kHA/edit?usp=sharing"",""แผน!BA88"")"),0)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IFERROR(__xludf.DUMMYFUNCTION("IMPORTRANGE(""https://docs.google.com/spreadsheets/d/1QqKyyYR6Q21VydFLVH3TRQUabQu_ym0Zz7PgGX0-kHA/edit?usp=sharing"",""แผน!BB88"")"),0)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IFERROR(__xludf.DUMMYFUNCTION("IMPORTRANGE(""https://docs.google.com/spreadsheets/d/1QqKyyYR6Q21VydFLVH3TRQUabQu_ym0Zz7PgGX0-kHA/edit?usp=sharing"",""แผน!BC88"")"),0)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IFERROR(__xludf.DUMMYFUNCTION("IMPORTRANGE(""https://docs.google.com/spreadsheets/d/1QqKyyYR6Q21VydFLVH3TRQUabQu_ym0Zz7PgGX0-kHA/edit?usp=sharing"",""แผน!BF88"")"),0)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20</v>
      </c>
      <c r="J260" s="242">
        <f t="shared" si="115"/>
        <v>0</v>
      </c>
      <c r="K260" s="243">
        <f ca="1">IF(I260&gt;0,J260*100/I260,0)</f>
        <v>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25000</v>
      </c>
      <c r="M261" s="154">
        <f t="shared" ca="1" si="116"/>
        <v>25000</v>
      </c>
      <c r="N261" s="154">
        <f t="shared" ca="1" si="116"/>
        <v>9610</v>
      </c>
      <c r="O261" s="154">
        <f t="shared" ref="O261:O269" ca="1" si="117">IF(L261&gt;0,N261*100/L261,0)</f>
        <v>38.44</v>
      </c>
      <c r="P261" s="154">
        <f t="shared" ref="P261:P269" ca="1" si="118">IF(M261&gt;0,N261*100/M261,0)</f>
        <v>38.44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25000</v>
      </c>
      <c r="M263" s="45">
        <f t="shared" ca="1" si="119"/>
        <v>25000</v>
      </c>
      <c r="N263" s="45">
        <f t="shared" ca="1" si="119"/>
        <v>9610</v>
      </c>
      <c r="O263" s="45">
        <f t="shared" ca="1" si="117"/>
        <v>38.44</v>
      </c>
      <c r="P263" s="45">
        <f t="shared" ca="1" si="118"/>
        <v>38.44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25000</v>
      </c>
      <c r="M264" s="38">
        <f t="shared" ca="1" si="120"/>
        <v>25000</v>
      </c>
      <c r="N264" s="38">
        <f t="shared" ca="1" si="120"/>
        <v>9610</v>
      </c>
      <c r="O264" s="38">
        <f t="shared" ca="1" si="117"/>
        <v>38.44</v>
      </c>
      <c r="P264" s="38">
        <f t="shared" ca="1" si="118"/>
        <v>38.44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IFERROR(__xludf.DUMMYFUNCTION("IMPORTRANGE(""https://docs.google.com/spreadsheets/d/1MeEWN-I1oV_STSDYn1IFDPWt_1FKiwhDph83XaGc0o0/edit?usp=sharing"",""งบพรบ!CY88"")"),25000)</f>
        <v>25000</v>
      </c>
      <c r="M266" s="45">
        <f ca="1">IFERROR(__xludf.DUMMYFUNCTION("IMPORTRANGE(""https://docs.google.com/spreadsheets/d/1MeEWN-I1oV_STSDYn1IFDPWt_1FKiwhDph83XaGc0o0/edit?usp=sharing"",""งบพรบ!DD88"")"),25000)</f>
        <v>25000</v>
      </c>
      <c r="N266" s="45">
        <f ca="1">IFERROR(__xludf.DUMMYFUNCTION("IMPORTRANGE(""https://docs.google.com/spreadsheets/d/1MeEWN-I1oV_STSDYn1IFDPWt_1FKiwhDph83XaGc0o0/edit?usp=sharing"",""งบพรบ!DF88"")"),9610)</f>
        <v>9610</v>
      </c>
      <c r="O266" s="45">
        <f t="shared" ca="1" si="117"/>
        <v>38.44</v>
      </c>
      <c r="P266" s="45">
        <f t="shared" ca="1" si="118"/>
        <v>38.44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IFERROR(__xludf.DUMMYFUNCTION("IMPORTRANGE(""https://docs.google.com/spreadsheets/d/1MeEWN-I1oV_STSDYn1IFDPWt_1FKiwhDph83XaGc0o0/edit?usp=sharing"",""งบพรบ!DB88"")"),0)</f>
        <v>0</v>
      </c>
      <c r="M269" s="45">
        <f ca="1">IFERROR(__xludf.DUMMYFUNCTION("IMPORTRANGE(""https://docs.google.com/spreadsheets/d/1MeEWN-I1oV_STSDYn1IFDPWt_1FKiwhDph83XaGc0o0/edit?usp=sharing"",""งบพรบ!DE88"")"),0)</f>
        <v>0</v>
      </c>
      <c r="N269" s="45">
        <f ca="1">IFERROR(__xludf.DUMMYFUNCTION("IMPORTRANGE(""https://docs.google.com/spreadsheets/d/1MeEWN-I1oV_STSDYn1IFDPWt_1FKiwhDph83XaGc0o0/edit?usp=sharing"",""งบพรบ!DG88"")"),0)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IFERROR(__xludf.DUMMYFUNCTION("IMPORTRANGE(""https://docs.google.com/spreadsheets/d/1QqKyyYR6Q21VydFLVH3TRQUabQu_ym0Zz7PgGX0-kHA/edit?usp=sharing"",""แผน!EA88"")"),20)</f>
        <v>20</v>
      </c>
      <c r="J271" s="181">
        <v>0</v>
      </c>
      <c r="K271" s="162">
        <f ca="1">IF(I271&gt;0,J271*100/I271,0)</f>
        <v>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10</v>
      </c>
      <c r="J275" s="387">
        <f t="shared" ca="1" si="122"/>
        <v>10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4">I287</f>
        <v>100</v>
      </c>
      <c r="J276" s="390">
        <f t="shared" si="124"/>
        <v>100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41010</v>
      </c>
      <c r="M277" s="154">
        <f t="shared" ca="1" si="125"/>
        <v>41010</v>
      </c>
      <c r="N277" s="154">
        <f t="shared" ca="1" si="125"/>
        <v>41010</v>
      </c>
      <c r="O277" s="154">
        <f t="shared" ref="O277:O285" ca="1" si="126">IF(L277&gt;0,N277*100/L277,0)</f>
        <v>100</v>
      </c>
      <c r="P277" s="154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41010</v>
      </c>
      <c r="M279" s="45">
        <f t="shared" ca="1" si="128"/>
        <v>41010</v>
      </c>
      <c r="N279" s="45">
        <f t="shared" ca="1" si="128"/>
        <v>41010</v>
      </c>
      <c r="O279" s="45">
        <f t="shared" ca="1" si="126"/>
        <v>100</v>
      </c>
      <c r="P279" s="45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41010</v>
      </c>
      <c r="M280" s="38">
        <f t="shared" ca="1" si="129"/>
        <v>41010</v>
      </c>
      <c r="N280" s="38">
        <f t="shared" ca="1" si="129"/>
        <v>41010</v>
      </c>
      <c r="O280" s="38">
        <f t="shared" ca="1" si="126"/>
        <v>100</v>
      </c>
      <c r="P280" s="3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IFERROR(__xludf.DUMMYFUNCTION("IMPORTRANGE(""https://docs.google.com/spreadsheets/d/1MeEWN-I1oV_STSDYn1IFDPWt_1FKiwhDph83XaGc0o0/edit?usp=sharing"",""งบพรบ!DI88"")"),41010)</f>
        <v>41010</v>
      </c>
      <c r="M282" s="45">
        <f ca="1">IFERROR(__xludf.DUMMYFUNCTION("IMPORTRANGE(""https://docs.google.com/spreadsheets/d/1MeEWN-I1oV_STSDYn1IFDPWt_1FKiwhDph83XaGc0o0/edit?usp=sharing"",""งบพรบ!DN88"")"),41010)</f>
        <v>41010</v>
      </c>
      <c r="N282" s="45">
        <f ca="1">IFERROR(__xludf.DUMMYFUNCTION("IMPORTRANGE(""https://docs.google.com/spreadsheets/d/1MeEWN-I1oV_STSDYn1IFDPWt_1FKiwhDph83XaGc0o0/edit?usp=sharing"",""งบพรบ!DP88"")"),41010)</f>
        <v>41010</v>
      </c>
      <c r="O282" s="45">
        <f t="shared" ca="1" si="126"/>
        <v>100</v>
      </c>
      <c r="P282" s="45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IFERROR(__xludf.DUMMYFUNCTION("IMPORTRANGE(""https://docs.google.com/spreadsheets/d/1MeEWN-I1oV_STSDYn1IFDPWt_1FKiwhDph83XaGc0o0/edit?usp=sharing"",""งบพรบ!DL88"")"),0)</f>
        <v>0</v>
      </c>
      <c r="M285" s="45">
        <f ca="1">IFERROR(__xludf.DUMMYFUNCTION("IMPORTRANGE(""https://docs.google.com/spreadsheets/d/1MeEWN-I1oV_STSDYn1IFDPWt_1FKiwhDph83XaGc0o0/edit?usp=sharing"",""งบพรบ!DO88"")"),0)</f>
        <v>0</v>
      </c>
      <c r="N285" s="45">
        <f ca="1">IFERROR(__xludf.DUMMYFUNCTION("IMPORTRANGE(""https://docs.google.com/spreadsheets/d/1MeEWN-I1oV_STSDYn1IFDPWt_1FKiwhDph83XaGc0o0/edit?usp=sharing"",""งบพรบ!DQ88"")"),0)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IFERROR(__xludf.DUMMYFUNCTION("IMPORTRANGE(""https://docs.google.com/spreadsheets/d/1QqKyyYR6Q21VydFLVH3TRQUabQu_ym0Zz7PgGX0-kHA/edit?usp=sharing"",""แผน!EC88"")"),100)</f>
        <v>100</v>
      </c>
      <c r="J287" s="181">
        <v>100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IFERROR(__xludf.DUMMYFUNCTION("IMPORTRANGE(""https://docs.google.com/spreadsheets/d/1QqKyyYR6Q21VydFLVH3TRQUabQu_ym0Zz7PgGX0-kHA/edit?usp=sharing"",""แผน!EB88"")"),10)</f>
        <v>10</v>
      </c>
      <c r="J288" s="190">
        <f ca="1">IF(AND(J291&gt;=I288,J294&gt;=I288),J294,0)</f>
        <v>10</v>
      </c>
      <c r="K288" s="391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IFERROR(__xludf.DUMMYFUNCTION("IMPORTRANGE(""https://docs.google.com/spreadsheets/d/1QqKyyYR6Q21VydFLVH3TRQUabQu_ym0Zz7PgGX0-kHA/edit?usp=sharing"",""แผน!EB88"")"),10)</f>
        <v>10</v>
      </c>
      <c r="J290" s="181">
        <v>10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IFERROR(__xludf.DUMMYFUNCTION("IMPORTRANGE(""https://docs.google.com/spreadsheets/d/1QqKyyYR6Q21VydFLVH3TRQUabQu_ym0Zz7PgGX0-kHA/edit?usp=sharing"",""แผน!EB88"")"),10)</f>
        <v>10</v>
      </c>
      <c r="J291" s="181">
        <v>10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IFERROR(__xludf.DUMMYFUNCTION("IMPORTRANGE(""https://docs.google.com/spreadsheets/d/1QqKyyYR6Q21VydFLVH3TRQUabQu_ym0Zz7PgGX0-kHA/edit?usp=sharing"",""แผน!EB88"")"),10)</f>
        <v>10</v>
      </c>
      <c r="J293" s="181">
        <v>10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9" t="s">
        <v>136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IFERROR(__xludf.DUMMYFUNCTION("IMPORTRANGE(""https://docs.google.com/spreadsheets/d/1QqKyyYR6Q21VydFLVH3TRQUabQu_ym0Zz7PgGX0-kHA/edit?usp=sharing"",""แผน!EB88"")"),10)</f>
        <v>10</v>
      </c>
      <c r="J294" s="57">
        <v>10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20</v>
      </c>
      <c r="J297" s="421">
        <f t="shared" si="134"/>
        <v>20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82400</v>
      </c>
      <c r="N298" s="154">
        <f t="shared" ca="1" si="135"/>
        <v>82400</v>
      </c>
      <c r="O298" s="154">
        <f t="shared" ref="O298:O306" ca="1" si="136">IF(L298&gt;0,N298*100/L298,0)</f>
        <v>100</v>
      </c>
      <c r="P298" s="154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82400</v>
      </c>
      <c r="N300" s="45">
        <f t="shared" ca="1" si="138"/>
        <v>82400</v>
      </c>
      <c r="O300" s="45">
        <f t="shared" ca="1" si="136"/>
        <v>100</v>
      </c>
      <c r="P300" s="45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82400</v>
      </c>
      <c r="N301" s="38">
        <f t="shared" ca="1" si="139"/>
        <v>82400</v>
      </c>
      <c r="O301" s="38">
        <f t="shared" ca="1" si="136"/>
        <v>100</v>
      </c>
      <c r="P301" s="3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IFERROR(__xludf.DUMMYFUNCTION("IMPORTRANGE(""https://docs.google.com/spreadsheets/d/1MeEWN-I1oV_STSDYn1IFDPWt_1FKiwhDph83XaGc0o0/edit?usp=sharing"",""งบพรบ!DS88"")"),82400)</f>
        <v>82400</v>
      </c>
      <c r="M303" s="45">
        <f ca="1">IFERROR(__xludf.DUMMYFUNCTION("IMPORTRANGE(""https://docs.google.com/spreadsheets/d/1MeEWN-I1oV_STSDYn1IFDPWt_1FKiwhDph83XaGc0o0/edit?usp=sharing"",""งบพรบ!DX88"")"),82400)</f>
        <v>82400</v>
      </c>
      <c r="N303" s="45">
        <f ca="1">IFERROR(__xludf.DUMMYFUNCTION("IMPORTRANGE(""https://docs.google.com/spreadsheets/d/1MeEWN-I1oV_STSDYn1IFDPWt_1FKiwhDph83XaGc0o0/edit?usp=sharing"",""งบพรบ!DZ88"")"),82400)</f>
        <v>82400</v>
      </c>
      <c r="O303" s="45">
        <f t="shared" ca="1" si="136"/>
        <v>100</v>
      </c>
      <c r="P303" s="45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IFERROR(__xludf.DUMMYFUNCTION("IMPORTRANGE(""https://docs.google.com/spreadsheets/d/1MeEWN-I1oV_STSDYn1IFDPWt_1FKiwhDph83XaGc0o0/edit?usp=sharing"",""งบพรบ!DV88"")"),0)</f>
        <v>0</v>
      </c>
      <c r="M306" s="45">
        <f ca="1">IFERROR(__xludf.DUMMYFUNCTION("IMPORTRANGE(""https://docs.google.com/spreadsheets/d/1MeEWN-I1oV_STSDYn1IFDPWt_1FKiwhDph83XaGc0o0/edit?usp=sharing"",""งบพรบ!DY88"")"),0)</f>
        <v>0</v>
      </c>
      <c r="N306" s="45">
        <f ca="1">IFERROR(__xludf.DUMMYFUNCTION("IMPORTRANGE(""https://docs.google.com/spreadsheets/d/1MeEWN-I1oV_STSDYn1IFDPWt_1FKiwhDph83XaGc0o0/edit?usp=sharing"",""งบพรบ!EA88"")"),0)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IFERROR(__xludf.DUMMYFUNCTION("IMPORTRANGE(""https://docs.google.com/spreadsheets/d/1QqKyyYR6Q21VydFLVH3TRQUabQu_ym0Zz7PgGX0-kHA/edit?usp=sharing"",""แผน!ED88"")"),20)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IFERROR(__xludf.DUMMYFUNCTION("IMPORTRANGE(""https://docs.google.com/spreadsheets/d/1QqKyyYR6Q21VydFLVH3TRQUabQu_ym0Zz7PgGX0-kHA/edit?usp=sharing"",""แผน!ED88"")"),20)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IFERROR(__xludf.DUMMYFUNCTION("IMPORTRANGE(""https://docs.google.com/spreadsheets/d/1QqKyyYR6Q21VydFLVH3TRQUabQu_ym0Zz7PgGX0-kHA/edit?usp=sharing"",""แผน!ED88"")"),20)</f>
        <v>20</v>
      </c>
      <c r="J311" s="181">
        <v>20</v>
      </c>
      <c r="K311" s="38">
        <f t="shared" ca="1" si="141"/>
        <v>100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IFERROR(__xludf.DUMMYFUNCTION("IMPORTRANGE(""https://docs.google.com/spreadsheets/d/1QqKyyYR6Q21VydFLVH3TRQUabQu_ym0Zz7PgGX0-kHA/edit?usp=sharing"",""แผน!EE88"")"),4)</f>
        <v>4</v>
      </c>
      <c r="J312" s="181">
        <v>4</v>
      </c>
      <c r="K312" s="38">
        <f t="shared" ca="1" si="141"/>
        <v>100</v>
      </c>
      <c r="L312" s="38"/>
      <c r="M312" s="38"/>
      <c r="N312" s="38"/>
      <c r="O312" s="38"/>
      <c r="P312" s="38"/>
    </row>
    <row r="313" spans="1:26" ht="19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1</v>
      </c>
      <c r="J314" s="421">
        <f t="shared" si="142"/>
        <v>1</v>
      </c>
      <c r="K314" s="422">
        <f ca="1">IF(I314&gt;0,J314*100/I314,0)</f>
        <v>100</v>
      </c>
      <c r="L314" s="423"/>
      <c r="M314" s="423"/>
      <c r="N314" s="423"/>
      <c r="O314" s="423"/>
      <c r="P314" s="423"/>
    </row>
    <row r="315" spans="1:26" ht="19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439000</v>
      </c>
      <c r="M315" s="154">
        <f t="shared" ca="1" si="143"/>
        <v>439000</v>
      </c>
      <c r="N315" s="154">
        <f t="shared" ca="1" si="143"/>
        <v>357987.27</v>
      </c>
      <c r="O315" s="154">
        <f t="shared" ref="O315:O323" ca="1" si="144">IF(L315&gt;0,N315*100/L315,0)</f>
        <v>81.546075170842826</v>
      </c>
      <c r="P315" s="154">
        <f t="shared" ref="P315:P323" ca="1" si="145">IF(M315&gt;0,N315*100/M315,0)</f>
        <v>81.546075170842826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439000</v>
      </c>
      <c r="M317" s="45">
        <f t="shared" ca="1" si="146"/>
        <v>439000</v>
      </c>
      <c r="N317" s="45">
        <f t="shared" ca="1" si="146"/>
        <v>357987.27</v>
      </c>
      <c r="O317" s="45">
        <f t="shared" ca="1" si="144"/>
        <v>81.546075170842826</v>
      </c>
      <c r="P317" s="45">
        <f t="shared" ca="1" si="145"/>
        <v>81.546075170842826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439000</v>
      </c>
      <c r="M318" s="38">
        <f t="shared" ca="1" si="147"/>
        <v>439000</v>
      </c>
      <c r="N318" s="38">
        <f t="shared" ca="1" si="147"/>
        <v>357987.27</v>
      </c>
      <c r="O318" s="38">
        <f t="shared" ca="1" si="144"/>
        <v>81.546075170842826</v>
      </c>
      <c r="P318" s="38">
        <f t="shared" ca="1" si="145"/>
        <v>81.546075170842826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IFERROR(__xludf.DUMMYFUNCTION("IMPORTRANGE(""https://docs.google.com/spreadsheets/d/1MeEWN-I1oV_STSDYn1IFDPWt_1FKiwhDph83XaGc0o0/edit?usp=sharing"",""งบพรบ!EC88"")"),439000)</f>
        <v>439000</v>
      </c>
      <c r="M320" s="45">
        <f ca="1">IFERROR(__xludf.DUMMYFUNCTION("IMPORTRANGE(""https://docs.google.com/spreadsheets/d/1MeEWN-I1oV_STSDYn1IFDPWt_1FKiwhDph83XaGc0o0/edit?usp=sharing"",""งบพรบ!EH88"")"),439000)</f>
        <v>439000</v>
      </c>
      <c r="N320" s="45">
        <f ca="1">IFERROR(__xludf.DUMMYFUNCTION("IMPORTRANGE(""https://docs.google.com/spreadsheets/d/1MeEWN-I1oV_STSDYn1IFDPWt_1FKiwhDph83XaGc0o0/edit?usp=sharing"",""งบพรบ!EJ88"")"),357987.27)</f>
        <v>357987.27</v>
      </c>
      <c r="O320" s="45">
        <f t="shared" ca="1" si="144"/>
        <v>81.546075170842826</v>
      </c>
      <c r="P320" s="45">
        <f t="shared" ca="1" si="145"/>
        <v>81.546075170842826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IFERROR(__xludf.DUMMYFUNCTION("IMPORTRANGE(""https://docs.google.com/spreadsheets/d/1MeEWN-I1oV_STSDYn1IFDPWt_1FKiwhDph83XaGc0o0/edit?usp=sharing"",""งบพรบ!EF88"")"),0)</f>
        <v>0</v>
      </c>
      <c r="M323" s="45">
        <f ca="1">IFERROR(__xludf.DUMMYFUNCTION("IMPORTRANGE(""https://docs.google.com/spreadsheets/d/1MeEWN-I1oV_STSDYn1IFDPWt_1FKiwhDph83XaGc0o0/edit?usp=sharing"",""งบพรบ!EI88"")"),0)</f>
        <v>0</v>
      </c>
      <c r="N323" s="45">
        <f ca="1">IFERROR(__xludf.DUMMYFUNCTION("IMPORTRANGE(""https://docs.google.com/spreadsheets/d/1MeEWN-I1oV_STSDYn1IFDPWt_1FKiwhDph83XaGc0o0/edit?usp=sharing"",""งบพรบ!EK88"")"),0)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IFERROR(__xludf.DUMMYFUNCTION("IMPORTRANGE(""https://docs.google.com/spreadsheets/d/1QqKyyYR6Q21VydFLVH3TRQUabQu_ym0Zz7PgGX0-kHA/edit?usp=sharing"",""แผน!EF88"")"),1)</f>
        <v>1</v>
      </c>
      <c r="J325" s="181">
        <v>1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IFERROR(__xludf.DUMMYFUNCTION("IMPORTRANGE(""https://docs.google.com/spreadsheets/d/1QqKyyYR6Q21VydFLVH3TRQUabQu_ym0Zz7PgGX0-kHA/edit?usp=sharing"",""แผน!EG88"")"),4800)</f>
        <v>4800</v>
      </c>
      <c r="J327" s="421">
        <f ca="1">J338+J341+J342+J343</f>
        <v>12027</v>
      </c>
      <c r="K327" s="422">
        <f ca="1">IF(I327&gt;0,J327*100/I327,0)</f>
        <v>250.5625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179000</v>
      </c>
      <c r="M328" s="154">
        <f t="shared" ca="1" si="149"/>
        <v>181500</v>
      </c>
      <c r="N328" s="154">
        <f t="shared" ca="1" si="149"/>
        <v>141604.57999999999</v>
      </c>
      <c r="O328" s="154">
        <f t="shared" ref="O328:O336" ca="1" si="150">IF(L328&gt;0,N328*100/L328,0)</f>
        <v>79.108703910614508</v>
      </c>
      <c r="P328" s="154">
        <f t="shared" ref="P328:P336" ca="1" si="151">IF(M328&gt;0,N328*100/M328,0)</f>
        <v>78.019052341597785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179000</v>
      </c>
      <c r="M330" s="45">
        <f t="shared" ca="1" si="152"/>
        <v>181500</v>
      </c>
      <c r="N330" s="45">
        <f t="shared" ca="1" si="152"/>
        <v>141604.57999999999</v>
      </c>
      <c r="O330" s="45">
        <f t="shared" ca="1" si="150"/>
        <v>79.108703910614508</v>
      </c>
      <c r="P330" s="45">
        <f t="shared" ca="1" si="151"/>
        <v>78.019052341597785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179000</v>
      </c>
      <c r="M331" s="38">
        <f t="shared" ca="1" si="153"/>
        <v>181500</v>
      </c>
      <c r="N331" s="38">
        <f t="shared" ca="1" si="153"/>
        <v>141604.57999999999</v>
      </c>
      <c r="O331" s="38">
        <f t="shared" ca="1" si="150"/>
        <v>79.108703910614508</v>
      </c>
      <c r="P331" s="38">
        <f t="shared" ca="1" si="151"/>
        <v>78.019052341597785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IFERROR(__xludf.DUMMYFUNCTION("IMPORTRANGE(""https://docs.google.com/spreadsheets/d/1MeEWN-I1oV_STSDYn1IFDPWt_1FKiwhDph83XaGc0o0/edit?usp=sharing"",""งบพรบ!EM88"")"),179000)</f>
        <v>179000</v>
      </c>
      <c r="M333" s="45">
        <f ca="1">IFERROR(__xludf.DUMMYFUNCTION("IMPORTRANGE(""https://docs.google.com/spreadsheets/d/1MeEWN-I1oV_STSDYn1IFDPWt_1FKiwhDph83XaGc0o0/edit?usp=sharing"",""งบพรบ!ER88"")"),181500)</f>
        <v>181500</v>
      </c>
      <c r="N333" s="45">
        <f ca="1">IFERROR(__xludf.DUMMYFUNCTION("IMPORTRANGE(""https://docs.google.com/spreadsheets/d/1MeEWN-I1oV_STSDYn1IFDPWt_1FKiwhDph83XaGc0o0/edit?usp=sharing"",""งบพรบ!ET88"")"),141604.58)</f>
        <v>141604.57999999999</v>
      </c>
      <c r="O333" s="45">
        <f t="shared" ca="1" si="150"/>
        <v>79.108703910614508</v>
      </c>
      <c r="P333" s="45">
        <f t="shared" ca="1" si="151"/>
        <v>78.019052341597785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IFERROR(__xludf.DUMMYFUNCTION("IMPORTRANGE(""https://docs.google.com/spreadsheets/d/1MeEWN-I1oV_STSDYn1IFDPWt_1FKiwhDph83XaGc0o0/edit?usp=sharing"",""งบพรบ!EP88"")"),0)</f>
        <v>0</v>
      </c>
      <c r="M336" s="45">
        <f ca="1">IFERROR(__xludf.DUMMYFUNCTION("IMPORTRANGE(""https://docs.google.com/spreadsheets/d/1MeEWN-I1oV_STSDYn1IFDPWt_1FKiwhDph83XaGc0o0/edit?usp=sharing"",""งบพรบ!ES88"")"),0)</f>
        <v>0</v>
      </c>
      <c r="N336" s="45">
        <f ca="1">IFERROR(__xludf.DUMMYFUNCTION("IMPORTRANGE(""https://docs.google.com/spreadsheets/d/1MeEWN-I1oV_STSDYn1IFDPWt_1FKiwhDph83XaGc0o0/edit?usp=sharing"",""งบพรบ!EU88"")"),0)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IFERROR(__xludf.DUMMYFUNCTION("IMPORTRANGE(""https://docs.google.com/spreadsheets/d/1QqKyyYR6Q21VydFLVH3TRQUabQu_ym0Zz7PgGX0-kHA/edit?usp=sharing"",""แผน!EG88"")"),4800)</f>
        <v>4800</v>
      </c>
      <c r="J338" s="37">
        <f ca="1">IFERROR(__xludf.DUMMYFUNCTION("IMPORTRANGE(""https://docs.google.com/spreadsheets/d/1kVcqe37tkHyjCSG3S0O1AXqVkqjo8mSIZil3BcpIysc/edit?usp=sharing"",""ศูนย์!D88"")"),11677)</f>
        <v>11677</v>
      </c>
      <c r="K338" s="38">
        <f ca="1">IF(I338&gt;0,J338*100/I338,0)</f>
        <v>243.27083333333334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IFERROR(__xludf.DUMMYFUNCTION("IMPORTRANGE(""https://docs.google.com/spreadsheets/d/1QqKyyYR6Q21VydFLVH3TRQUabQu_ym0Zz7PgGX0-kHA/edit?usp=sharing"",""แผน!EH88"")"),8)</f>
        <v>8</v>
      </c>
      <c r="J340" s="37">
        <f ca="1">IFERROR(__xludf.DUMMYFUNCTION("IMPORTRANGE(""https://docs.google.com/spreadsheets/d/1kVcqe37tkHyjCSG3S0O1AXqVkqjo8mSIZil3BcpIysc/edit?usp=sharing"",""ศูนย์!E88"")"),8)</f>
        <v>8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IFERROR(__xludf.DUMMYFUNCTION("IMPORTRANGE(""https://docs.google.com/spreadsheets/d/1kVcqe37tkHyjCSG3S0O1AXqVkqjo8mSIZil3BcpIysc/edit?usp=sharing"",""ศูนย์!F88"")"),337)</f>
        <v>337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IFERROR(__xludf.DUMMYFUNCTION("IMPORTRANGE(""https://docs.google.com/spreadsheets/d/1kVcqe37tkHyjCSG3S0O1AXqVkqjo8mSIZil3BcpIysc/edit?usp=sharing"",""ศูนย์!G88"")"),0)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IFERROR(__xludf.DUMMYFUNCTION("IMPORTRANGE(""https://docs.google.com/spreadsheets/d/1kVcqe37tkHyjCSG3S0O1AXqVkqjo8mSIZil3BcpIysc/edit?usp=sharing"",""ศูนย์!H88"")"),13)</f>
        <v>13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1438760</v>
      </c>
      <c r="M345" s="154">
        <f t="shared" ca="1" si="155"/>
        <v>1517560</v>
      </c>
      <c r="N345" s="154">
        <f t="shared" ca="1" si="155"/>
        <v>1290024.3899999999</v>
      </c>
      <c r="O345" s="154">
        <f t="shared" ref="O345:O353" ca="1" si="156">IF(L345&gt;0,N345*100/L345,0)</f>
        <v>89.662236231199074</v>
      </c>
      <c r="P345" s="154">
        <f t="shared" ref="P345:P353" ca="1" si="157">IF(M345&gt;0,N345*100/M345,0)</f>
        <v>85.006483433933411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1438760</v>
      </c>
      <c r="M347" s="45">
        <f t="shared" ca="1" si="158"/>
        <v>1517560</v>
      </c>
      <c r="N347" s="45">
        <f t="shared" ca="1" si="158"/>
        <v>1290024.3899999999</v>
      </c>
      <c r="O347" s="45">
        <f t="shared" ca="1" si="156"/>
        <v>89.662236231199074</v>
      </c>
      <c r="P347" s="45">
        <f t="shared" ca="1" si="157"/>
        <v>85.006483433933411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1287160</v>
      </c>
      <c r="M348" s="38">
        <f t="shared" ca="1" si="159"/>
        <v>1387160</v>
      </c>
      <c r="N348" s="38">
        <f t="shared" ca="1" si="159"/>
        <v>1159624.3899999999</v>
      </c>
      <c r="O348" s="38">
        <f t="shared" ca="1" si="156"/>
        <v>90.091704993940141</v>
      </c>
      <c r="P348" s="38">
        <f t="shared" ca="1" si="157"/>
        <v>83.597017647567682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IFERROR(__xludf.DUMMYFUNCTION("IMPORTRANGE(""https://docs.google.com/spreadsheets/d/1MeEWN-I1oV_STSDYn1IFDPWt_1FKiwhDph83XaGc0o0/edit?usp=sharing"",""งบพรบ!EW88"")"),1287160)</f>
        <v>1287160</v>
      </c>
      <c r="M350" s="45">
        <f ca="1">IFERROR(__xludf.DUMMYFUNCTION("IMPORTRANGE(""https://docs.google.com/spreadsheets/d/1MeEWN-I1oV_STSDYn1IFDPWt_1FKiwhDph83XaGc0o0/edit?usp=sharing"",""งบพรบ!FB88"")"),1387160)</f>
        <v>1387160</v>
      </c>
      <c r="N350" s="45">
        <f ca="1">IFERROR(__xludf.DUMMYFUNCTION("IMPORTRANGE(""https://docs.google.com/spreadsheets/d/1MeEWN-I1oV_STSDYn1IFDPWt_1FKiwhDph83XaGc0o0/edit?usp=sharing"",""งบพรบ!FD88"")"),1159624.39)</f>
        <v>1159624.3899999999</v>
      </c>
      <c r="O350" s="45">
        <f t="shared" ca="1" si="156"/>
        <v>90.091704993940141</v>
      </c>
      <c r="P350" s="45">
        <f t="shared" ca="1" si="157"/>
        <v>83.597017647567682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151600</v>
      </c>
      <c r="M351" s="38">
        <f t="shared" ca="1" si="160"/>
        <v>130400</v>
      </c>
      <c r="N351" s="38">
        <f t="shared" ca="1" si="160"/>
        <v>130400</v>
      </c>
      <c r="O351" s="38">
        <f t="shared" ca="1" si="156"/>
        <v>86.01583113456465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IFERROR(__xludf.DUMMYFUNCTION("IMPORTRANGE(""https://docs.google.com/spreadsheets/d/1MeEWN-I1oV_STSDYn1IFDPWt_1FKiwhDph83XaGc0o0/edit?usp=sharing"",""งบพรบ!EZ88"")"),151600)</f>
        <v>151600</v>
      </c>
      <c r="M353" s="45">
        <f ca="1">IFERROR(__xludf.DUMMYFUNCTION("IMPORTRANGE(""https://docs.google.com/spreadsheets/d/1MeEWN-I1oV_STSDYn1IFDPWt_1FKiwhDph83XaGc0o0/edit?usp=sharing"",""งบพรบ!FC88"")"),130400)</f>
        <v>130400</v>
      </c>
      <c r="N353" s="45">
        <f ca="1">IFERROR(__xludf.DUMMYFUNCTION("IMPORTRANGE(""https://docs.google.com/spreadsheets/d/1MeEWN-I1oV_STSDYn1IFDPWt_1FKiwhDph83XaGc0o0/edit?usp=sharing"",""งบพรบ!FE88"")"),130400)</f>
        <v>130400</v>
      </c>
      <c r="O353" s="45">
        <f t="shared" ca="1" si="156"/>
        <v>86.01583113456465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IFERROR(__xludf.DUMMYFUNCTION("IMPORTRANGE(""https://docs.google.com/spreadsheets/d/1QqKyyYR6Q21VydFLVH3TRQUabQu_ym0Zz7PgGX0-kHA/edit?usp=sharing"",""แผน!EP88"")"),500)</f>
        <v>500</v>
      </c>
      <c r="J355" s="438">
        <f ca="1">J362</f>
        <v>338</v>
      </c>
      <c r="K355" s="439">
        <f ca="1">IF(I355&gt;0,J355*100/I355,0)</f>
        <v>67.599999999999994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IFERROR(__xludf.DUMMYFUNCTION("IMPORTRANGE(""https://docs.google.com/spreadsheets/d/1XWAQStnk-4SwqDmLtmXYiTMKHgktTP8We1SCoS47DrQ/edit?usp=sharing"",""จัดที่ดิน!W88"")"),650)</f>
        <v>650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IFERROR(__xludf.DUMMYFUNCTION("IMPORTRANGE(""https://docs.google.com/spreadsheets/d/1QqKyyYR6Q21VydFLVH3TRQUabQu_ym0Zz7PgGX0-kHA/edit?usp=sharing"",""แผน!EO88"")"),5000)</f>
        <v>5000</v>
      </c>
      <c r="J359" s="37">
        <f ca="1">IFERROR(__xludf.DUMMYFUNCTION("IMPORTRANGE(""https://docs.google.com/spreadsheets/d/1XWAQStnk-4SwqDmLtmXYiTMKHgktTP8We1SCoS47DrQ/edit?usp=sharing"",""จัดที่ดิน!X88"")"),7424.46999999999)</f>
        <v>7424.4699999999903</v>
      </c>
      <c r="K359" s="38">
        <f t="shared" ca="1" si="161"/>
        <v>148.48939999999982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IFERROR(__xludf.DUMMYFUNCTION("IMPORTRANGE(""https://docs.google.com/spreadsheets/d/1QqKyyYR6Q21VydFLVH3TRQUabQu_ym0Zz7PgGX0-kHA/edit?usp=sharing"",""แผน!EP88"")"),500)</f>
        <v>500</v>
      </c>
      <c r="J360" s="37">
        <f ca="1">IFERROR(__xludf.DUMMYFUNCTION("IMPORTRANGE(""https://docs.google.com/spreadsheets/d/1XWAQStnk-4SwqDmLtmXYiTMKHgktTP8We1SCoS47DrQ/edit?usp=sharing"",""จัดที่ดิน!Y88"")"),536)</f>
        <v>536</v>
      </c>
      <c r="K360" s="38">
        <f t="shared" ca="1" si="161"/>
        <v>107.2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IFERROR(__xludf.DUMMYFUNCTION("IMPORTRANGE(""https://docs.google.com/spreadsheets/d/1XWAQStnk-4SwqDmLtmXYiTMKHgktTP8We1SCoS47DrQ/edit?usp=sharing"",""จัดที่ดิน!Z88"")"),5938.54)</f>
        <v>5938.54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IFERROR(__xludf.DUMMYFUNCTION("IMPORTRANGE(""https://docs.google.com/spreadsheets/d/1QqKyyYR6Q21VydFLVH3TRQUabQu_ym0Zz7PgGX0-kHA/edit?usp=sharing"",""แผน!EP88"")"),500)</f>
        <v>500</v>
      </c>
      <c r="J362" s="37">
        <f ca="1">IFERROR(__xludf.DUMMYFUNCTION("IMPORTRANGE(""https://docs.google.com/spreadsheets/d/1XWAQStnk-4SwqDmLtmXYiTMKHgktTP8We1SCoS47DrQ/edit?usp=sharing"",""จัดที่ดิน!AA88"")"),338)</f>
        <v>338</v>
      </c>
      <c r="K362" s="38">
        <f t="shared" ca="1" si="161"/>
        <v>67.599999999999994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IFERROR(__xludf.DUMMYFUNCTION("IMPORTRANGE(""https://docs.google.com/spreadsheets/d/1XWAQStnk-4SwqDmLtmXYiTMKHgktTP8We1SCoS47DrQ/edit?usp=sharing"",""จัดที่ดิน!AB88"")"),3499)</f>
        <v>3499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800</v>
      </c>
      <c r="J364" s="452">
        <f t="shared" ca="1" si="162"/>
        <v>1019</v>
      </c>
      <c r="K364" s="453">
        <f t="shared" ca="1" si="161"/>
        <v>127.375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IFERROR(__xludf.DUMMYFUNCTION("IMPORTRANGE(""https://docs.google.com/spreadsheets/d/1QqKyyYR6Q21VydFLVH3TRQUabQu_ym0Zz7PgGX0-kHA/edit?usp=sharing"",""แผน!EJ88"")"),150)</f>
        <v>150</v>
      </c>
      <c r="J365" s="462">
        <f ca="1">J372</f>
        <v>121</v>
      </c>
      <c r="K365" s="463">
        <f t="shared" ca="1" si="161"/>
        <v>80.666666666666671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IFERROR(__xludf.DUMMYFUNCTION("IMPORTRANGE(""https://docs.google.com/spreadsheets/d/1XWAQStnk-4SwqDmLtmXYiTMKHgktTP8We1SCoS47DrQ/edit?usp=sharing"",""จัดที่ดิน!E88"")"),232)</f>
        <v>232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IFERROR(__xludf.DUMMYFUNCTION("IMPORTRANGE(""https://docs.google.com/spreadsheets/d/1QqKyyYR6Q21VydFLVH3TRQUabQu_ym0Zz7PgGX0-kHA/edit?usp=sharing"",""แผน!EI88"")"),1500)</f>
        <v>1500</v>
      </c>
      <c r="J369" s="37">
        <f ca="1">IFERROR(__xludf.DUMMYFUNCTION("IMPORTRANGE(""https://docs.google.com/spreadsheets/d/1XWAQStnk-4SwqDmLtmXYiTMKHgktTP8We1SCoS47DrQ/edit?usp=sharing"",""จัดที่ดิน!F88"")"),2772.07)</f>
        <v>2772.07</v>
      </c>
      <c r="K369" s="38">
        <f t="shared" ca="1" si="163"/>
        <v>184.80466666666666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IFERROR(__xludf.DUMMYFUNCTION("IMPORTRANGE(""https://docs.google.com/spreadsheets/d/1QqKyyYR6Q21VydFLVH3TRQUabQu_ym0Zz7PgGX0-kHA/edit?usp=sharing"",""แผน!EJ88"")"),150)</f>
        <v>150</v>
      </c>
      <c r="J370" s="37">
        <f ca="1">IFERROR(__xludf.DUMMYFUNCTION("IMPORTRANGE(""https://docs.google.com/spreadsheets/d/1XWAQStnk-4SwqDmLtmXYiTMKHgktTP8We1SCoS47DrQ/edit?usp=sharing"",""จัดที่ดิน!G88"")"),214)</f>
        <v>214</v>
      </c>
      <c r="K370" s="38">
        <f t="shared" ca="1" si="163"/>
        <v>142.66666666666666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IFERROR(__xludf.DUMMYFUNCTION("IMPORTRANGE(""https://docs.google.com/spreadsheets/d/1XWAQStnk-4SwqDmLtmXYiTMKHgktTP8We1SCoS47DrQ/edit?usp=sharing"",""จัดที่ดิน!H88"")"),2480.47)</f>
        <v>2480.4699999999998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IFERROR(__xludf.DUMMYFUNCTION("IMPORTRANGE(""https://docs.google.com/spreadsheets/d/1QqKyyYR6Q21VydFLVH3TRQUabQu_ym0Zz7PgGX0-kHA/edit?usp=sharing"",""แผน!EJ88"")"),150)</f>
        <v>150</v>
      </c>
      <c r="J372" s="37">
        <f ca="1">IFERROR(__xludf.DUMMYFUNCTION("IMPORTRANGE(""https://docs.google.com/spreadsheets/d/1XWAQStnk-4SwqDmLtmXYiTMKHgktTP8We1SCoS47DrQ/edit?usp=sharing"",""จัดที่ดิน!I88"")"),121)</f>
        <v>121</v>
      </c>
      <c r="K372" s="38">
        <f t="shared" ca="1" si="163"/>
        <v>80.666666666666671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IFERROR(__xludf.DUMMYFUNCTION("IMPORTRANGE(""https://docs.google.com/spreadsheets/d/1XWAQStnk-4SwqDmLtmXYiTMKHgktTP8We1SCoS47DrQ/edit?usp=sharing"",""จัดที่ดิน!J88"")"),1155.91)</f>
        <v>1155.9100000000001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IFERROR(__xludf.DUMMYFUNCTION("IMPORTRANGE(""https://docs.google.com/spreadsheets/d/1QqKyyYR6Q21VydFLVH3TRQUabQu_ym0Zz7PgGX0-kHA/edit?usp=sharing"",""แผน!EU88"")"),650)</f>
        <v>650</v>
      </c>
      <c r="J374" s="462">
        <f ca="1">J381</f>
        <v>898</v>
      </c>
      <c r="K374" s="463">
        <f t="shared" ca="1" si="163"/>
        <v>138.15384615384616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IFERROR(__xludf.DUMMYFUNCTION("IMPORTRANGE(""https://docs.google.com/spreadsheets/d/1XWAQStnk-4SwqDmLtmXYiTMKHgktTP8We1SCoS47DrQ/edit?usp=sharing"",""จัดที่ดิน!AH88"")"),418)</f>
        <v>418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IFERROR(__xludf.DUMMYFUNCTION("IMPORTRANGE(""https://docs.google.com/spreadsheets/d/1QqKyyYR6Q21VydFLVH3TRQUabQu_ym0Zz7PgGX0-kHA/edit?usp=sharing"",""แผน!ET88"")"),3500)</f>
        <v>3500</v>
      </c>
      <c r="J378" s="37">
        <f ca="1">IFERROR(__xludf.DUMMYFUNCTION("IMPORTRANGE(""https://docs.google.com/spreadsheets/d/1XWAQStnk-4SwqDmLtmXYiTMKHgktTP8We1SCoS47DrQ/edit?usp=sharing"",""จัดที่ดิน!AI88"")"),4652.4)</f>
        <v>4652.3999999999996</v>
      </c>
      <c r="K378" s="38">
        <f t="shared" ca="1" si="164"/>
        <v>132.92571428571426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IFERROR(__xludf.DUMMYFUNCTION("IMPORTRANGE(""https://docs.google.com/spreadsheets/d/1QqKyyYR6Q21VydFLVH3TRQUabQu_ym0Zz7PgGX0-kHA/edit?usp=sharing"",""แผน!EU88"")"),650)</f>
        <v>650</v>
      </c>
      <c r="J379" s="37">
        <f ca="1">IFERROR(__xludf.DUMMYFUNCTION("IMPORTRANGE(""https://docs.google.com/spreadsheets/d/1XWAQStnk-4SwqDmLtmXYiTMKHgktTP8We1SCoS47DrQ/edit?usp=sharing"",""จัดที่ดิน!AJ88"")"),1004)</f>
        <v>1004</v>
      </c>
      <c r="K379" s="38">
        <f t="shared" ca="1" si="164"/>
        <v>154.46153846153845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IFERROR(__xludf.DUMMYFUNCTION("IMPORTRANGE(""https://docs.google.com/spreadsheets/d/1XWAQStnk-4SwqDmLtmXYiTMKHgktTP8We1SCoS47DrQ/edit?usp=sharing"",""จัดที่ดิน!AK88"")"),13997.2799999999)</f>
        <v>13997.279999999901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IFERROR(__xludf.DUMMYFUNCTION("IMPORTRANGE(""https://docs.google.com/spreadsheets/d/1QqKyyYR6Q21VydFLVH3TRQUabQu_ym0Zz7PgGX0-kHA/edit?usp=sharing"",""แผน!EU88"")"),650)</f>
        <v>650</v>
      </c>
      <c r="J381" s="37">
        <f ca="1">IFERROR(__xludf.DUMMYFUNCTION("IMPORTRANGE(""https://docs.google.com/spreadsheets/d/1XWAQStnk-4SwqDmLtmXYiTMKHgktTP8We1SCoS47DrQ/edit?usp=sharing"",""จัดที่ดิน!AL88"")"),898)</f>
        <v>898</v>
      </c>
      <c r="K381" s="38">
        <f t="shared" ca="1" si="164"/>
        <v>138.15384615384616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IFERROR(__xludf.DUMMYFUNCTION("IMPORTRANGE(""https://docs.google.com/spreadsheets/d/1XWAQStnk-4SwqDmLtmXYiTMKHgktTP8We1SCoS47DrQ/edit?usp=sharing"",""จัดที่ดิน!AM88"")"),12863.23)</f>
        <v>12863.23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IFERROR(__xludf.DUMMYFUNCTION("IMPORTRANGE(""https://docs.google.com/spreadsheets/d/1QqKyyYR6Q21VydFLVH3TRQUabQu_ym0Zz7PgGX0-kHA/edit?usp=sharing"",""แผน!EW88"")"),150)</f>
        <v>150</v>
      </c>
      <c r="J385" s="365">
        <f ca="1">IFERROR(__xludf.DUMMYFUNCTION("IMPORTRANGE(""https://docs.google.com/spreadsheets/d/1XWAQStnk-4SwqDmLtmXYiTMKHgktTP8We1SCoS47DrQ/edit?usp=sharing"",""จัดที่ดิน!AP88"")"),95)</f>
        <v>95</v>
      </c>
      <c r="K385" s="475">
        <f ca="1">IF(I385&gt;0,J385*100/I385,0)</f>
        <v>63.333333333333336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IFERROR(__xludf.DUMMYFUNCTION("IMPORTRANGE(""https://docs.google.com/spreadsheets/d/1MeEWN-I1oV_STSDYn1IFDPWt_1FKiwhDph83XaGc0o0/edit?usp=sharing"",""งบพรบ!FG88"")"),0)</f>
        <v>0</v>
      </c>
      <c r="M394" s="45">
        <f ca="1">IFERROR(__xludf.DUMMYFUNCTION("IMPORTRANGE(""https://docs.google.com/spreadsheets/d/1MeEWN-I1oV_STSDYn1IFDPWt_1FKiwhDph83XaGc0o0/edit?usp=sharing"",""งบพรบ!FL88"")"),0)</f>
        <v>0</v>
      </c>
      <c r="N394" s="45">
        <f ca="1">IFERROR(__xludf.DUMMYFUNCTION("IMPORTRANGE(""https://docs.google.com/spreadsheets/d/1MeEWN-I1oV_STSDYn1IFDPWt_1FKiwhDph83XaGc0o0/edit?usp=sharing"",""งบพรบ!FN88"")"),0)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IFERROR(__xludf.DUMMYFUNCTION("IMPORTRANGE(""https://docs.google.com/spreadsheets/d/1MeEWN-I1oV_STSDYn1IFDPWt_1FKiwhDph83XaGc0o0/edit?usp=sharing"",""งบพรบ!FJ88"")"),0)</f>
        <v>0</v>
      </c>
      <c r="M397" s="45">
        <f ca="1">IFERROR(__xludf.DUMMYFUNCTION("IMPORTRANGE(""https://docs.google.com/spreadsheets/d/1MeEWN-I1oV_STSDYn1IFDPWt_1FKiwhDph83XaGc0o0/edit?usp=sharing"",""งบพรบ!FM88"")"),0)</f>
        <v>0</v>
      </c>
      <c r="N397" s="45">
        <f ca="1">IFERROR(__xludf.DUMMYFUNCTION("IMPORTRANGE(""https://docs.google.com/spreadsheets/d/1MeEWN-I1oV_STSDYn1IFDPWt_1FKiwhDph83XaGc0o0/edit?usp=sharing"",""งบพรบ!FO88"")"),0)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0</v>
      </c>
      <c r="J401" s="495">
        <f t="shared" si="173"/>
        <v>0</v>
      </c>
      <c r="K401" s="496">
        <f t="shared" si="172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IFERROR(__xludf.DUMMYFUNCTION("IMPORTRANGE(""https://docs.google.com/spreadsheets/d/1MeEWN-I1oV_STSDYn1IFDPWt_1FKiwhDph83XaGc0o0/edit?usp=sharing"",""งบพรบ!FQ88"")"),0)</f>
        <v>0</v>
      </c>
      <c r="M407" s="45">
        <f ca="1">IFERROR(__xludf.DUMMYFUNCTION("IMPORTRANGE(""https://docs.google.com/spreadsheets/d/1MeEWN-I1oV_STSDYn1IFDPWt_1FKiwhDph83XaGc0o0/edit?usp=sharing"",""งบพรบ!FV88"")"),0)</f>
        <v>0</v>
      </c>
      <c r="N407" s="45">
        <f ca="1">IFERROR(__xludf.DUMMYFUNCTION("IMPORTRANGE(""https://docs.google.com/spreadsheets/d/1MeEWN-I1oV_STSDYn1IFDPWt_1FKiwhDph83XaGc0o0/edit?usp=sharing"",""งบพรบ!FX88"")"),0)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IFERROR(__xludf.DUMMYFUNCTION("IMPORTRANGE(""https://docs.google.com/spreadsheets/d/1MeEWN-I1oV_STSDYn1IFDPWt_1FKiwhDph83XaGc0o0/edit?usp=sharing"",""งบพรบ!FT88"")"),0)</f>
        <v>0</v>
      </c>
      <c r="M410" s="45">
        <f ca="1">IFERROR(__xludf.DUMMYFUNCTION("IMPORTRANGE(""https://docs.google.com/spreadsheets/d/1MeEWN-I1oV_STSDYn1IFDPWt_1FKiwhDph83XaGc0o0/edit?usp=sharing"",""งบพรบ!FW88"")"),0)</f>
        <v>0</v>
      </c>
      <c r="N410" s="45">
        <f ca="1">IFERROR(__xludf.DUMMYFUNCTION("IMPORTRANGE(""https://docs.google.com/spreadsheets/d/1MeEWN-I1oV_STSDYn1IFDPWt_1FKiwhDph83XaGc0o0/edit?usp=sharing"",""งบพรบ!FY88"")"),0)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80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2095088</v>
      </c>
      <c r="M414" s="521">
        <f t="shared" ca="1" si="181"/>
        <v>2494783</v>
      </c>
      <c r="N414" s="521">
        <f t="shared" si="181"/>
        <v>2437540.0300000003</v>
      </c>
      <c r="O414" s="521">
        <f ca="1">IF(L414&gt;0,N414*100/L414,0)</f>
        <v>116.34547236202013</v>
      </c>
      <c r="P414" s="521">
        <f ca="1">IF(M414&gt;0,N414*100/M414,0)</f>
        <v>97.705493022840074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45</v>
      </c>
      <c r="J417" s="536">
        <f t="shared" ca="1" si="182"/>
        <v>45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2</v>
      </c>
      <c r="J418" s="536">
        <f t="shared" si="182"/>
        <v>2</v>
      </c>
      <c r="K418" s="537">
        <f t="shared" ca="1" si="183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149040</v>
      </c>
      <c r="M419" s="154">
        <f t="shared" ca="1" si="184"/>
        <v>149040</v>
      </c>
      <c r="N419" s="154">
        <f t="shared" si="184"/>
        <v>144817</v>
      </c>
      <c r="O419" s="154">
        <f t="shared" ref="O419:O424" ca="1" si="185">IF(L419&gt;0,N419*100/L419,0)</f>
        <v>97.166532474503484</v>
      </c>
      <c r="P419" s="154">
        <f t="shared" ref="P419:P424" ca="1" si="186">IF(M419&gt;0,N419*100/M419,0)</f>
        <v>97.166532474503484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149040</v>
      </c>
      <c r="M421" s="45">
        <f t="shared" ca="1" si="187"/>
        <v>149040</v>
      </c>
      <c r="N421" s="45">
        <f t="shared" si="187"/>
        <v>144817</v>
      </c>
      <c r="O421" s="45">
        <f t="shared" ca="1" si="185"/>
        <v>97.166532474503484</v>
      </c>
      <c r="P421" s="45">
        <f t="shared" ca="1" si="186"/>
        <v>97.166532474503484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149040</v>
      </c>
      <c r="M422" s="38">
        <f t="shared" ca="1" si="188"/>
        <v>149040</v>
      </c>
      <c r="N422" s="38">
        <f t="shared" si="188"/>
        <v>144817</v>
      </c>
      <c r="O422" s="38">
        <f t="shared" ca="1" si="185"/>
        <v>97.166532474503484</v>
      </c>
      <c r="P422" s="38">
        <f t="shared" ca="1" si="186"/>
        <v>97.166532474503484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IFERROR(__xludf.DUMMYFUNCTION("IMPORTRANGE(""https://docs.google.com/spreadsheets/d/1QqKyyYR6Q21VydFLVH3TRQUabQu_ym0Zz7PgGX0-kHA/edit?usp=sharing"",""แผน!EY88"")"),149040)</f>
        <v>149040</v>
      </c>
      <c r="M424" s="45">
        <f ca="1">L424</f>
        <v>149040</v>
      </c>
      <c r="N424" s="45">
        <f>N425+N426+N427+N428</f>
        <v>144817</v>
      </c>
      <c r="O424" s="45">
        <f t="shared" ca="1" si="185"/>
        <v>97.166532474503484</v>
      </c>
      <c r="P424" s="45">
        <f t="shared" ca="1" si="186"/>
        <v>97.166532474503484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f>77780+24000+17000</f>
        <v>118780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1080+480+3740+20737</f>
        <v>26037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IFERROR(__xludf.DUMMYFUNCTION("IMPORTRANGE(""https://docs.google.com/spreadsheets/d/1QqKyyYR6Q21VydFLVH3TRQUabQu_ym0Zz7PgGX0-kHA/edit?usp=sharing"",""แผน!FB88"")"),0)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45</v>
      </c>
      <c r="J433" s="190">
        <f ca="1">IF(AND(J435=I435,J437=I437,J439=I439),I437+I439,IF(AND(J435=I437,J437=I437),I437,IF(AND(J435=I439,J439=I439),I439,0)))</f>
        <v>45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2</v>
      </c>
      <c r="J434" s="190">
        <f t="shared" si="193"/>
        <v>2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IFERROR(__xludf.DUMMYFUNCTION("IMPORTRANGE(""https://docs.google.com/spreadsheets/d/1QqKyyYR6Q21VydFLVH3TRQUabQu_ym0Zz7PgGX0-kHA/edit?usp=sharing"",""แผน!FC88"")"),45)</f>
        <v>45</v>
      </c>
      <c r="J435" s="549">
        <v>45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IFERROR(__xludf.DUMMYFUNCTION("IMPORTRANGE(""https://docs.google.com/spreadsheets/d/1QqKyyYR6Q21VydFLVH3TRQUabQu_ym0Zz7PgGX0-kHA/edit?usp=sharing"",""แผน!FD88"")"),30)</f>
        <v>30</v>
      </c>
      <c r="J437" s="549">
        <v>30</v>
      </c>
      <c r="K437" s="38">
        <f t="shared" ref="K437:K443" ca="1" si="194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IFERROR(__xludf.DUMMYFUNCTION("IMPORTRANGE(""https://docs.google.com/spreadsheets/d/1QqKyyYR6Q21VydFLVH3TRQUabQu_ym0Zz7PgGX0-kHA/edit?usp=sharing"",""แผน!FE88"")"),1)</f>
        <v>1</v>
      </c>
      <c r="J438" s="181">
        <v>1</v>
      </c>
      <c r="K438" s="38">
        <f t="shared" ca="1" si="194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IFERROR(__xludf.DUMMYFUNCTION("IMPORTRANGE(""https://docs.google.com/spreadsheets/d/1QqKyyYR6Q21VydFLVH3TRQUabQu_ym0Zz7PgGX0-kHA/edit?usp=sharing"",""แผน!FF88"")"),15)</f>
        <v>15</v>
      </c>
      <c r="J439" s="549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IFERROR(__xludf.DUMMYFUNCTION("IMPORTRANGE(""https://docs.google.com/spreadsheets/d/1QqKyyYR6Q21VydFLVH3TRQUabQu_ym0Zz7PgGX0-kHA/edit?usp=sharing"",""แผน!FG88"")"),1)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IFERROR(__xludf.DUMMYFUNCTION("IMPORTRANGE(""https://docs.google.com/spreadsheets/d/1QqKyyYR6Q21VydFLVH3TRQUabQu_ym0Zz7PgGX0-kHA/edit?usp=sharing"",""แผน!FH88"")"),0)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40</v>
      </c>
      <c r="J442" s="555">
        <f t="shared" si="195"/>
        <v>40</v>
      </c>
      <c r="K442" s="556">
        <f t="shared" ca="1" si="194"/>
        <v>100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80</v>
      </c>
      <c r="J443" s="536">
        <f t="shared" si="196"/>
        <v>80</v>
      </c>
      <c r="K443" s="537">
        <f t="shared" ca="1" si="194"/>
        <v>100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317680</v>
      </c>
      <c r="M444" s="191">
        <f t="shared" ca="1" si="197"/>
        <v>317680</v>
      </c>
      <c r="N444" s="191">
        <f t="shared" si="197"/>
        <v>363472.06</v>
      </c>
      <c r="O444" s="191">
        <f t="shared" ref="O444:O449" ca="1" si="198">IF(L444&gt;0,N444*100/L444,0)</f>
        <v>114.41452404935785</v>
      </c>
      <c r="P444" s="191">
        <f t="shared" ref="P444:P449" ca="1" si="199">IF(M444&gt;0,N444*100/M444,0)</f>
        <v>114.41452404935785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317680</v>
      </c>
      <c r="M446" s="45">
        <f t="shared" ca="1" si="200"/>
        <v>317680</v>
      </c>
      <c r="N446" s="45">
        <f t="shared" si="200"/>
        <v>363472.06</v>
      </c>
      <c r="O446" s="45">
        <f t="shared" ca="1" si="198"/>
        <v>114.41452404935785</v>
      </c>
      <c r="P446" s="45">
        <f t="shared" ca="1" si="199"/>
        <v>114.41452404935785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317680</v>
      </c>
      <c r="M447" s="38">
        <f t="shared" ca="1" si="201"/>
        <v>317680</v>
      </c>
      <c r="N447" s="38">
        <f t="shared" si="201"/>
        <v>363472.06</v>
      </c>
      <c r="O447" s="38">
        <f t="shared" ca="1" si="198"/>
        <v>114.41452404935785</v>
      </c>
      <c r="P447" s="38">
        <f t="shared" ca="1" si="199"/>
        <v>114.41452404935785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IFERROR(__xludf.DUMMYFUNCTION("IMPORTRANGE(""https://docs.google.com/spreadsheets/d/1QqKyyYR6Q21VydFLVH3TRQUabQu_ym0Zz7PgGX0-kHA/edit?usp=sharing"",""แผน!FJ88"")"),317680)</f>
        <v>317680</v>
      </c>
      <c r="M449" s="45">
        <f ca="1">L449</f>
        <v>317680</v>
      </c>
      <c r="N449" s="45">
        <f>N450+N451+N452+N453</f>
        <v>363472.06</v>
      </c>
      <c r="O449" s="45">
        <f t="shared" ca="1" si="198"/>
        <v>114.41452404935785</v>
      </c>
      <c r="P449" s="45">
        <f t="shared" ca="1" si="199"/>
        <v>114.41452404935785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f>33511+20889</f>
        <v>54400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79000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f>23833.35+13000+13000+12566.67+12566.67+12133.34+10400.02+111700.01</f>
        <v>209200.06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f>360+3730+3600+360+2300+6632+3890</f>
        <v>20872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IFERROR(__xludf.DUMMYFUNCTION("IMPORTRANGE(""https://docs.google.com/spreadsheets/d/1QqKyyYR6Q21VydFLVH3TRQUabQu_ym0Zz7PgGX0-kHA/edit?usp=sharing"",""แผน!FM88"")"),0)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IFERROR(__xludf.DUMMYFUNCTION("IMPORTRANGE(""https://docs.google.com/spreadsheets/d/1QqKyyYR6Q21VydFLVH3TRQUabQu_ym0Zz7PgGX0-kHA/edit?usp=sharing"",""แผน!FN88"")"),40)</f>
        <v>40</v>
      </c>
      <c r="J460" s="181">
        <v>40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IFERROR(__xludf.DUMMYFUNCTION("IMPORTRANGE(""https://docs.google.com/spreadsheets/d/1QqKyyYR6Q21VydFLVH3TRQUabQu_ym0Zz7PgGX0-kHA/edit?usp=sharing"",""แผน!FO88"")"),80)</f>
        <v>80</v>
      </c>
      <c r="J462" s="181">
        <v>80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IFERROR(__xludf.DUMMYFUNCTION("IMPORTRANGE(""https://docs.google.com/spreadsheets/d/1QqKyyYR6Q21VydFLVH3TRQUabQu_ym0Zz7PgGX0-kHA/edit?usp=sharing"",""แผน!FO88"")"),80)</f>
        <v>80</v>
      </c>
      <c r="J463" s="181">
        <v>80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IFERROR(__xludf.DUMMYFUNCTION("IMPORTRANGE(""https://docs.google.com/spreadsheets/d/1QqKyyYR6Q21VydFLVH3TRQUabQu_ym0Zz7PgGX0-kHA/edit?usp=sharing"",""แผน!FN88"")"),40)</f>
        <v>40</v>
      </c>
      <c r="J464" s="181">
        <v>40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IFERROR(__xludf.DUMMYFUNCTION("IMPORTRANGE(""https://docs.google.com/spreadsheets/d/1QqKyyYR6Q21VydFLVH3TRQUabQu_ym0Zz7PgGX0-kHA/edit?usp=sharing"",""แผน!FX88"")"),71)</f>
        <v>71</v>
      </c>
      <c r="J465" s="555">
        <f>J485+J489+J492</f>
        <v>71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IFERROR(__xludf.DUMMYFUNCTION("IMPORTRANGE(""https://docs.google.com/spreadsheets/d/1QqKyyYR6Q21VydFLVH3TRQUabQu_ym0Zz7PgGX0-kHA/edit?usp=sharing"",""แผน!FW88"")"),700)</f>
        <v>700</v>
      </c>
      <c r="J466" s="536">
        <f>J495+J498</f>
        <v>700</v>
      </c>
      <c r="K466" s="537">
        <f t="shared" ca="1" si="205"/>
        <v>100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570443</v>
      </c>
      <c r="M467" s="191">
        <f t="shared" ca="1" si="206"/>
        <v>570443</v>
      </c>
      <c r="N467" s="191">
        <f t="shared" si="206"/>
        <v>565733</v>
      </c>
      <c r="O467" s="191">
        <f t="shared" ref="O467:O472" ca="1" si="207">IF(L467&gt;0,N467*100/L467,0)</f>
        <v>99.174325918628156</v>
      </c>
      <c r="P467" s="191">
        <f t="shared" ref="P467:P472" ca="1" si="208">IF(M467&gt;0,N467*100/M467,0)</f>
        <v>99.174325918628156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570443</v>
      </c>
      <c r="M469" s="45">
        <f t="shared" ca="1" si="209"/>
        <v>570443</v>
      </c>
      <c r="N469" s="45">
        <f t="shared" si="209"/>
        <v>565733</v>
      </c>
      <c r="O469" s="45">
        <f t="shared" ca="1" si="207"/>
        <v>99.174325918628156</v>
      </c>
      <c r="P469" s="45">
        <f t="shared" ca="1" si="208"/>
        <v>99.174325918628156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570443</v>
      </c>
      <c r="M470" s="38">
        <f t="shared" ca="1" si="210"/>
        <v>570443</v>
      </c>
      <c r="N470" s="38">
        <f t="shared" si="210"/>
        <v>565733</v>
      </c>
      <c r="O470" s="38">
        <f t="shared" ca="1" si="207"/>
        <v>99.174325918628156</v>
      </c>
      <c r="P470" s="38">
        <f t="shared" ca="1" si="208"/>
        <v>99.174325918628156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IFERROR(__xludf.DUMMYFUNCTION("IMPORTRANGE(""https://docs.google.com/spreadsheets/d/1QqKyyYR6Q21VydFLVH3TRQUabQu_ym0Zz7PgGX0-kHA/edit?usp=sharing"",""แผน!FS88"")"),570443)</f>
        <v>570443</v>
      </c>
      <c r="M472" s="45">
        <f ca="1">L472</f>
        <v>570443</v>
      </c>
      <c r="N472" s="45">
        <f>N473+N474+N475+N476</f>
        <v>565733</v>
      </c>
      <c r="O472" s="45">
        <f t="shared" ca="1" si="207"/>
        <v>99.174325918628156</v>
      </c>
      <c r="P472" s="45">
        <f t="shared" ca="1" si="208"/>
        <v>99.174325918628156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84153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438000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43580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IFERROR(__xludf.DUMMYFUNCTION("IMPORTRANGE(""https://docs.google.com/spreadsheets/d/1QqKyyYR6Q21VydFLVH3TRQUabQu_ym0Zz7PgGX0-kHA/edit?usp=sharing"",""แผน!FV88"")"),0)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IFERROR(__xludf.DUMMYFUNCTION("IMPORTRANGE(""https://docs.google.com/spreadsheets/d/1QqKyyYR6Q21VydFLVH3TRQUabQu_ym0Zz7PgGX0-kHA/edit?usp=sharing"",""แผน!FY88"")"),630)</f>
        <v>630</v>
      </c>
      <c r="J483" s="181">
        <v>630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63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IFERROR(__xludf.DUMMYFUNCTION("IMPORTRANGE(""https://docs.google.com/spreadsheets/d/1QqKyyYR6Q21VydFLVH3TRQUabQu_ym0Zz7PgGX0-kHA/edit?usp=sharing"",""แผน!FZ88"")"),63)</f>
        <v>63</v>
      </c>
      <c r="J485" s="181">
        <v>63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IFERROR(__xludf.DUMMYFUNCTION("IMPORTRANGE(""https://docs.google.com/spreadsheets/d/1QqKyyYR6Q21VydFLVH3TRQUabQu_ym0Zz7PgGX0-kHA/edit?usp=sharing"",""แผน!GA88"")"),70)</f>
        <v>70</v>
      </c>
      <c r="J487" s="181">
        <v>70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7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IFERROR(__xludf.DUMMYFUNCTION("IMPORTRANGE(""https://docs.google.com/spreadsheets/d/1QqKyyYR6Q21VydFLVH3TRQUabQu_ym0Zz7PgGX0-kHA/edit?usp=sharing"",""แผน!GB88"")"),7)</f>
        <v>7</v>
      </c>
      <c r="J489" s="181">
        <v>7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IFERROR(__xludf.DUMMYFUNCTION("IMPORTRANGE(""https://docs.google.com/spreadsheets/d/1QqKyyYR6Q21VydFLVH3TRQUabQu_ym0Zz7PgGX0-kHA/edit?usp=sharing"",""แผน!GC88"")"),1)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IFERROR(__xludf.DUMMYFUNCTION("IMPORTRANGE(""https://docs.google.com/spreadsheets/d/1QqKyyYR6Q21VydFLVH3TRQUabQu_ym0Zz7PgGX0-kHA/edit?usp=sharing"",""แผน!FY88"")"),630)</f>
        <v>630</v>
      </c>
      <c r="J495" s="181">
        <v>630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IFERROR(__xludf.DUMMYFUNCTION("IMPORTRANGE(""https://docs.google.com/spreadsheets/d/1QqKyyYR6Q21VydFLVH3TRQUabQu_ym0Zz7PgGX0-kHA/edit?usp=sharing"",""แผน!GA88"")"),70)</f>
        <v>70</v>
      </c>
      <c r="J498" s="181">
        <v>70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30</v>
      </c>
      <c r="J522" s="630">
        <f t="shared" ca="1" si="225"/>
        <v>30</v>
      </c>
      <c r="K522" s="631">
        <f ca="1">IF(I522&gt;0,J522*100/I522,0)</f>
        <v>100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277260</v>
      </c>
      <c r="M523" s="191">
        <f t="shared" ca="1" si="226"/>
        <v>277260</v>
      </c>
      <c r="N523" s="191">
        <f t="shared" si="226"/>
        <v>293030</v>
      </c>
      <c r="O523" s="191">
        <f t="shared" ref="O523:O528" ca="1" si="227">IF(L523&gt;0,N523*100/L523,0)</f>
        <v>105.68780206304552</v>
      </c>
      <c r="P523" s="191">
        <f t="shared" ref="P523:P528" ca="1" si="228">IF(M523&gt;0,N523*100/M523,0)</f>
        <v>105.68780206304552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277260</v>
      </c>
      <c r="M525" s="45">
        <f t="shared" ca="1" si="229"/>
        <v>277260</v>
      </c>
      <c r="N525" s="45">
        <f t="shared" si="229"/>
        <v>293030</v>
      </c>
      <c r="O525" s="45">
        <f t="shared" ca="1" si="227"/>
        <v>105.68780206304552</v>
      </c>
      <c r="P525" s="45">
        <f t="shared" ca="1" si="228"/>
        <v>105.68780206304552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277260</v>
      </c>
      <c r="M526" s="38">
        <f t="shared" ca="1" si="230"/>
        <v>277260</v>
      </c>
      <c r="N526" s="38">
        <f t="shared" si="230"/>
        <v>293030</v>
      </c>
      <c r="O526" s="38">
        <f t="shared" ca="1" si="227"/>
        <v>105.68780206304552</v>
      </c>
      <c r="P526" s="38">
        <f t="shared" ca="1" si="228"/>
        <v>105.68780206304552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IFERROR(__xludf.DUMMYFUNCTION("IMPORTRANGE(""https://docs.google.com/spreadsheets/d/1QqKyyYR6Q21VydFLVH3TRQUabQu_ym0Zz7PgGX0-kHA/edit?usp=sharing"",""แผน!GQ88"")"),277260)</f>
        <v>277260</v>
      </c>
      <c r="M528" s="45">
        <f ca="1">L528</f>
        <v>277260</v>
      </c>
      <c r="N528" s="45">
        <f>N529+N530+N531+N532</f>
        <v>293030</v>
      </c>
      <c r="O528" s="45">
        <f t="shared" ca="1" si="227"/>
        <v>105.68780206304552</v>
      </c>
      <c r="P528" s="45">
        <f t="shared" ca="1" si="228"/>
        <v>105.68780206304552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94500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f>126800+18100+5100</f>
        <v>150000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48530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IFERROR(__xludf.DUMMYFUNCTION("IMPORTRANGE(""https://docs.google.com/spreadsheets/d/1QqKyyYR6Q21VydFLVH3TRQUabQu_ym0Zz7PgGX0-kHA/edit?usp=sharing"",""แผน!GT88"")"),0)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IFERROR(__xludf.DUMMYFUNCTION("IMPORTRANGE(""https://docs.google.com/spreadsheets/d/1QqKyyYR6Q21VydFLVH3TRQUabQu_ym0Zz7PgGX0-kHA/edit?usp=sharing"",""แผน!GU88"")"),30)</f>
        <v>30</v>
      </c>
      <c r="J537" s="190">
        <f ca="1">IF(AND(J538=I538,J539=I539,J540=I540,J541=I541),I537,0)</f>
        <v>30</v>
      </c>
      <c r="K537" s="38">
        <f t="shared" ref="K537:K543" ca="1" si="234">IF(I537&gt;0,J537*100/I537,0)</f>
        <v>100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IFERROR(__xludf.DUMMYFUNCTION("IMPORTRANGE(""https://docs.google.com/spreadsheets/d/1QqKyyYR6Q21VydFLVH3TRQUabQu_ym0Zz7PgGX0-kHA/edit?usp=sharing"",""แผน!GV88"")"),30)</f>
        <v>30</v>
      </c>
      <c r="J538" s="181">
        <v>30</v>
      </c>
      <c r="K538" s="38">
        <f t="shared" ca="1" si="234"/>
        <v>100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IFERROR(__xludf.DUMMYFUNCTION("IMPORTRANGE(""https://docs.google.com/spreadsheets/d/1QqKyyYR6Q21VydFLVH3TRQUabQu_ym0Zz7PgGX0-kHA/edit?usp=sharing"",""แผน!GW88"")"),0)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IFERROR(__xludf.DUMMYFUNCTION("IMPORTRANGE(""https://docs.google.com/spreadsheets/d/1QqKyyYR6Q21VydFLVH3TRQUabQu_ym0Zz7PgGX0-kHA/edit?usp=sharing"",""แผน!GX88"")"),0)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IFERROR(__xludf.DUMMYFUNCTION("IMPORTRANGE(""https://docs.google.com/spreadsheets/d/1QqKyyYR6Q21VydFLVH3TRQUabQu_ym0Zz7PgGX0-kHA/edit?usp=sharing"",""แผน!GY88"")"),30)</f>
        <v>30</v>
      </c>
      <c r="J541" s="181">
        <v>30</v>
      </c>
      <c r="K541" s="38">
        <f t="shared" ca="1" si="234"/>
        <v>100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IFERROR(__xludf.DUMMYFUNCTION("IMPORTRANGE(""https://docs.google.com/spreadsheets/d/1QqKyyYR6Q21VydFLVH3TRQUabQu_ym0Zz7PgGX0-kHA/edit?usp=sharing"",""แผน!GZ88"")"),30)</f>
        <v>30</v>
      </c>
      <c r="J542" s="181">
        <v>30</v>
      </c>
      <c r="K542" s="38">
        <f t="shared" ca="1" si="234"/>
        <v>100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89214</v>
      </c>
      <c r="J543" s="638">
        <f t="shared" si="235"/>
        <v>89216</v>
      </c>
      <c r="K543" s="639">
        <f t="shared" ca="1" si="234"/>
        <v>100.00224180061426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780665</v>
      </c>
      <c r="M544" s="154">
        <f t="shared" ca="1" si="236"/>
        <v>1180360</v>
      </c>
      <c r="N544" s="154">
        <f t="shared" si="236"/>
        <v>1070487.97</v>
      </c>
      <c r="O544" s="154">
        <f t="shared" ref="O544:O549" ca="1" si="237">IF(L544&gt;0,N544*100/L544,0)</f>
        <v>137.12513946443096</v>
      </c>
      <c r="P544" s="154">
        <f t="shared" ref="P544:P549" ca="1" si="238">IF(M544&gt;0,N544*100/M544,0)</f>
        <v>90.691650852282351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780665</v>
      </c>
      <c r="M546" s="45">
        <f t="shared" ca="1" si="240"/>
        <v>1180360</v>
      </c>
      <c r="N546" s="45">
        <f t="shared" si="240"/>
        <v>1070487.97</v>
      </c>
      <c r="O546" s="45">
        <f t="shared" ca="1" si="237"/>
        <v>137.12513946443096</v>
      </c>
      <c r="P546" s="45">
        <f t="shared" ca="1" si="238"/>
        <v>90.691650852282351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780665</v>
      </c>
      <c r="M547" s="38">
        <f t="shared" ca="1" si="241"/>
        <v>1180360</v>
      </c>
      <c r="N547" s="38">
        <f t="shared" si="241"/>
        <v>1070487.97</v>
      </c>
      <c r="O547" s="38">
        <f t="shared" ca="1" si="237"/>
        <v>137.12513946443096</v>
      </c>
      <c r="P547" s="38">
        <f t="shared" ca="1" si="238"/>
        <v>90.691650852282351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IFERROR(__xludf.DUMMYFUNCTION("IMPORTRANGE(""https://docs.google.com/spreadsheets/d/1QqKyyYR6Q21VydFLVH3TRQUabQu_ym0Zz7PgGX0-kHA/edit?usp=sharing"",""แผน!HB88"")"),780665)</f>
        <v>780665</v>
      </c>
      <c r="M549" s="45">
        <f ca="1">L549+399695</f>
        <v>1180360</v>
      </c>
      <c r="N549" s="45">
        <f>N550+N551+N552+N553+N554</f>
        <v>1070487.97</v>
      </c>
      <c r="O549" s="45">
        <f t="shared" ca="1" si="237"/>
        <v>137.12513946443096</v>
      </c>
      <c r="P549" s="45">
        <f t="shared" ca="1" si="238"/>
        <v>90.691650852282351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f>24266.68+13000+13000+13000+13000+13000+13000+12566.67</f>
        <v>114833.34999999999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515959.62+11500+28500</f>
        <v>555959.62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f>220000+178195+2000+1500-2000</f>
        <v>399695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IFERROR(__xludf.DUMMYFUNCTION("IMPORTRANGE(""https://docs.google.com/spreadsheets/d/1QqKyyYR6Q21VydFLVH3TRQUabQu_ym0Zz7PgGX0-kHA/edit?usp=sharing"",""แผน!HF88"")"),0)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89214</v>
      </c>
      <c r="J559" s="630">
        <f t="shared" si="245"/>
        <v>89216</v>
      </c>
      <c r="K559" s="631">
        <f t="shared" ref="K559:K561" ca="1" si="246">IF(I559&gt;0,J559*100/I559,0)</f>
        <v>100.00224180061426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IFERROR(__xludf.DUMMYFUNCTION("IMPORTRANGE(""https://docs.google.com/spreadsheets/d/1QqKyyYR6Q21VydFLVH3TRQUabQu_ym0Zz7PgGX0-kHA/edit?usp=sharing"",""แผน!HH88"")"),89214)</f>
        <v>89214</v>
      </c>
      <c r="J560" s="189">
        <f t="shared" ref="J560:J561" si="247">J562+J564+J566</f>
        <v>89216</v>
      </c>
      <c r="K560" s="391">
        <f t="shared" ca="1" si="246"/>
        <v>100.00224180061426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IFERROR(__xludf.DUMMYFUNCTION("IMPORTRANGE(""https://docs.google.com/spreadsheets/d/1QqKyyYR6Q21VydFLVH3TRQUabQu_ym0Zz7PgGX0-kHA/edit?usp=sharing"",""แผน!HG88"")"),7593)</f>
        <v>7593</v>
      </c>
      <c r="J561" s="189">
        <f t="shared" si="247"/>
        <v>7593</v>
      </c>
      <c r="K561" s="391">
        <f t="shared" ca="1" si="246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79903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6728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8439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781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874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84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IFERROR(__xludf.DUMMYFUNCTION("IMPORTRANGE(""https://docs.google.com/spreadsheets/d/1QqKyyYR6Q21VydFLVH3TRQUabQu_ym0Zz7PgGX0-kHA/edit?usp=sharing"",""แผน!HH88"")"),89214)</f>
        <v>89214</v>
      </c>
      <c r="J568" s="190">
        <f t="shared" ref="J568:J569" si="248">J570+J572+J574</f>
        <v>89214</v>
      </c>
      <c r="K568" s="391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IFERROR(__xludf.DUMMYFUNCTION("IMPORTRANGE(""https://docs.google.com/spreadsheets/d/1QqKyyYR6Q21VydFLVH3TRQUabQu_ym0Zz7PgGX0-kHA/edit?usp=sharing"",""แผน!HG88"")"),7593)</f>
        <v>7593</v>
      </c>
      <c r="J569" s="190">
        <f t="shared" si="248"/>
        <v>7593</v>
      </c>
      <c r="K569" s="391">
        <f t="shared" ca="1" si="249"/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87382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7379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838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116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994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98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IFERROR(__xludf.DUMMYFUNCTION("IMPORTRANGE(""https://docs.google.com/spreadsheets/d/1QqKyyYR6Q21VydFLVH3TRQUabQu_ym0Zz7PgGX0-kHA/edit?usp=sharing"",""แผน!HH88"")"),89214)</f>
        <v>89214</v>
      </c>
      <c r="J576" s="190">
        <f t="shared" ref="J576:J577" si="250">J578+J580+J582+J588+J590</f>
        <v>89216</v>
      </c>
      <c r="K576" s="391">
        <f t="shared" ref="K576:K577" ca="1" si="251">IF(I576&gt;0,J576*100/I576,0)</f>
        <v>100.00224180061426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IFERROR(__xludf.DUMMYFUNCTION("IMPORTRANGE(""https://docs.google.com/spreadsheets/d/1QqKyyYR6Q21VydFLVH3TRQUabQu_ym0Zz7PgGX0-kHA/edit?usp=sharing"",""แผน!HG88"")"),7593)</f>
        <v>7593</v>
      </c>
      <c r="J577" s="190">
        <f t="shared" si="250"/>
        <v>7593</v>
      </c>
      <c r="K577" s="391">
        <f t="shared" ca="1" si="251"/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80108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6750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8114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745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994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98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994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98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15712.62</v>
      </c>
      <c r="J592" s="630">
        <f t="shared" si="253"/>
        <v>0</v>
      </c>
      <c r="K592" s="631">
        <f t="shared" ref="K592:K594" ca="1" si="254">IF(I592&gt;0,J592*100/I592,0)</f>
        <v>0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IFERROR(__xludf.DUMMYFUNCTION("IMPORTRANGE(""https://docs.google.com/spreadsheets/d/1QqKyyYR6Q21VydFLVH3TRQUabQu_ym0Zz7PgGX0-kHA/edit?usp=sharing"",""แผน!HJ88"")"),15712.62)</f>
        <v>15712.62</v>
      </c>
      <c r="J593" s="189">
        <f t="shared" ref="J593:J594" si="255">J595+J603+J609</f>
        <v>0</v>
      </c>
      <c r="K593" s="391">
        <f t="shared" ca="1" si="254"/>
        <v>0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IFERROR(__xludf.DUMMYFUNCTION("IMPORTRANGE(""https://docs.google.com/spreadsheets/d/1QqKyyYR6Q21VydFLVH3TRQUabQu_ym0Zz7PgGX0-kHA/edit?usp=sharing"",""แผน!HI88"")"),1172)</f>
        <v>1172</v>
      </c>
      <c r="J594" s="189">
        <f t="shared" si="255"/>
        <v>0</v>
      </c>
      <c r="K594" s="391">
        <f t="shared" ca="1" si="254"/>
        <v>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 hidden="1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 hidden="1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IFERROR(__xludf.DUMMYFUNCTION("IMPORTRANGE(""https://docs.google.com/spreadsheets/d/1QqKyyYR6Q21VydFLVH3TRQUabQu_ym0Zz7PgGX0-kHA/edit?usp=sharing"",""แผน!HL88"")"),0)</f>
        <v>0</v>
      </c>
      <c r="J620" s="675">
        <f t="shared" ref="J620:J621" si="260">J622+J624+J626</f>
        <v>0</v>
      </c>
      <c r="K620" s="676">
        <f t="shared" ref="K620:K621" ca="1" si="261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 hidden="1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IFERROR(__xludf.DUMMYFUNCTION("IMPORTRANGE(""https://docs.google.com/spreadsheets/d/1QqKyyYR6Q21VydFLVH3TRQUabQu_ym0Zz7PgGX0-kHA/edit?usp=sharing"",""แผน!HK88"")"),0)</f>
        <v>0</v>
      </c>
      <c r="J621" s="675">
        <f t="shared" si="260"/>
        <v>0</v>
      </c>
      <c r="K621" s="676">
        <f t="shared" ca="1" si="261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 hidden="1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 hidden="1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 hidden="1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 hidden="1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 hidden="1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 hidden="1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 hidden="1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0</v>
      </c>
      <c r="J628" s="686">
        <f t="shared" ca="1" si="262"/>
        <v>0</v>
      </c>
      <c r="K628" s="687">
        <f ca="1">IF(I628&gt;0,J628*100/I628,0)</f>
        <v>0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 hidden="1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 hidden="1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IFERROR(__xludf.DUMMYFUNCTION("IMPORTRANGE(""https://docs.google.com/spreadsheets/d/1QqKyyYR6Q21VydFLVH3TRQUabQu_ym0Zz7PgGX0-kHA/edit?usp=sharing"",""แผน!HN88"")"),0)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 hidden="1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 hidden="1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 hidden="1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 hidden="1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 hidden="1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IFERROR(__xludf.DUMMYFUNCTION("IMPORTRANGE(""https://docs.google.com/spreadsheets/d/1QqKyyYR6Q21VydFLVH3TRQUabQu_ym0Zz7PgGX0-kHA/edit?usp=sharing"",""แผน!HQ88"")"),0)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 hidden="1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 hidden="1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IFERROR(__xludf.DUMMYFUNCTION("IMPORTRANGE(""https://docs.google.com/spreadsheets/d/1QqKyyYR6Q21VydFLVH3TRQUabQu_ym0Zz7PgGX0-kHA/edit?usp=sharing"",""แผน!HR88"")"),0)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 hidden="1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IFERROR(__xludf.DUMMYFUNCTION("IMPORTRANGE(""https://docs.google.com/spreadsheets/d/1QqKyyYR6Q21VydFLVH3TRQUabQu_ym0Zz7PgGX0-kHA/edit?usp=sharing"",""แผน!HR88"")"),0)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 hidden="1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IFERROR(__xludf.DUMMYFUNCTION("IMPORTRANGE(""https://docs.google.com/spreadsheets/d/1XWAQStnk-4SwqDmLtmXYiTMKHgktTP8We1SCoS47DrQ/edit?usp=sharing"",""จัดที่ดิน!AS88"")"),0)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 hidden="1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IFERROR(__xludf.DUMMYFUNCTION("IMPORTRANGE(""https://docs.google.com/spreadsheets/d/1XWAQStnk-4SwqDmLtmXYiTMKHgktTP8We1SCoS47DrQ/edit?usp=sharing"",""จัดที่ดิน!AT88"")"),0)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 hidden="1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IFERROR(__xludf.DUMMYFUNCTION("IMPORTRANGE(""https://docs.google.com/spreadsheets/d/1QqKyyYR6Q21VydFLVH3TRQUabQu_ym0Zz7PgGX0-kHA/edit?usp=sharing"",""แผน!HS88"")"),0)</f>
        <v>0</v>
      </c>
      <c r="J647" s="37">
        <f ca="1">IFERROR(__xludf.DUMMYFUNCTION("IMPORTRANGE(""https://docs.google.com/spreadsheets/d/1XWAQStnk-4SwqDmLtmXYiTMKHgktTP8We1SCoS47DrQ/edit?usp=sharing"",""จัดที่ดิน!AU88"")"),0)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 hidden="1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IFERROR(__xludf.DUMMYFUNCTION("IMPORTRANGE(""https://docs.google.com/spreadsheets/d/1XWAQStnk-4SwqDmLtmXYiTMKHgktTP8We1SCoS47DrQ/edit?usp=sharing"",""จัดที่ดิน!AV88"")"),0)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 hidden="1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IFERROR(__xludf.DUMMYFUNCTION("IMPORTRANGE(""https://docs.google.com/spreadsheets/d/1QqKyyYR6Q21VydFLVH3TRQUabQu_ym0Zz7PgGX0-kHA/edit?usp=sharing"",""แผน!HS88"")"),0)</f>
        <v>0</v>
      </c>
      <c r="J649" s="37">
        <f ca="1">IFERROR(__xludf.DUMMYFUNCTION("IMPORTRANGE(""https://docs.google.com/spreadsheets/d/1XWAQStnk-4SwqDmLtmXYiTMKHgktTP8We1SCoS47DrQ/edit?usp=sharing"",""จัดที่ดิน!AW88"")"),0)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 hidden="1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IFERROR(__xludf.DUMMYFUNCTION("IMPORTRANGE(""https://docs.google.com/spreadsheets/d/1XWAQStnk-4SwqDmLtmXYiTMKHgktTP8We1SCoS47DrQ/edit?usp=sharing"",""จัดที่ดิน!AX88"")"),0)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 hidden="1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IFERROR(__xludf.DUMMYFUNCTION("IMPORTRANGE(""https://docs.google.com/spreadsheets/d/1QqKyyYR6Q21VydFLVH3TRQUabQu_ym0Zz7PgGX0-kHA/edit?usp=sharing"",""แผน!HS88"")"),0)</f>
        <v>0</v>
      </c>
      <c r="J651" s="37">
        <f ca="1">IFERROR(__xludf.DUMMYFUNCTION("IMPORTRANGE(""https://docs.google.com/spreadsheets/d/1XWAQStnk-4SwqDmLtmXYiTMKHgktTP8We1SCoS47DrQ/edit?usp=sharing"",""จัดที่ดิน!AY88"")"),0)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 hidden="1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IFERROR(__xludf.DUMMYFUNCTION("IMPORTRANGE(""https://docs.google.com/spreadsheets/d/1XWAQStnk-4SwqDmLtmXYiTMKHgktTP8We1SCoS47DrQ/edit?usp=sharing"",""จัดที่ดิน!AZ88"")"),0)</f>
        <v>0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 hidden="1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 hidden="1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 hidden="1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 hidden="1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IFERROR(__xludf.DUMMYFUNCTION("IMPORTRANGE(""https://docs.google.com/spreadsheets/d/1QqKyyYR6Q21VydFLVH3TRQUabQu_ym0Zz7PgGX0-kHA/edit?usp=sharing"",""แผน!HV88"")"),0)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 hidden="1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 hidden="1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 hidden="1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 hidden="1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 hidden="1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 hidden="1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 hidden="1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IFERROR(__xludf.DUMMYFUNCTION("IMPORTRANGE(""https://docs.google.com/spreadsheets/d/1QqKyyYR6Q21VydFLVH3TRQUabQu_ym0Zz7PgGX0-kHA/edit?usp=sharing"",""แผน!IA88"")"),0)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 hidden="1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IFERROR(__xludf.DUMMYFUNCTION("IMPORTRANGE(""https://docs.google.com/spreadsheets/d/1QqKyyYR6Q21VydFLVH3TRQUabQu_ym0Zz7PgGX0-kHA/edit?usp=sharing"",""แผน!HZ88"")"),0)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 hidden="1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IFERROR(__xludf.DUMMYFUNCTION("IMPORTRANGE(""https://docs.google.com/spreadsheets/d/1QqKyyYR6Q21VydFLVH3TRQUabQu_ym0Zz7PgGX0-kHA/edit?usp=sharing"",""แผน!HZ88"")"),0)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 hidden="1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 hidden="1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 hidden="1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 hidden="1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 hidden="1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 hidden="1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 hidden="1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IFERROR(__xludf.DUMMYFUNCTION("IMPORTRANGE(""https://docs.google.com/spreadsheets/d/1QqKyyYR6Q21VydFLVH3TRQUabQu_ym0Zz7PgGX0-kHA/edit?usp=sharing"",""แผน!IB88"")"),0)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 hidden="1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 hidden="1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 hidden="1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 hidden="1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 hidden="1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 hidden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 hidden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 hidden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IFERROR(__xludf.DUMMYFUNCTION("IMPORTRANGE(""https://docs.google.com/spreadsheets/d/1QqKyyYR6Q21VydFLVH3TRQUabQu_ym0Zz7PgGX0-kHA/edit?usp=sharing"",""แผน!HW88"")"),0)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 hidden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 hidden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 hidden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 hidden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 hidden="1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 hidden="1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 hidden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IFERROR(__xludf.DUMMYFUNCTION("IMPORTRANGE(""https://docs.google.com/spreadsheets/d/1QqKyyYR6Q21VydFLVH3TRQUabQu_ym0Zz7PgGX0-kHA/edit?usp=sharing"",""แผน!IC88"")"),0)</f>
        <v>0</v>
      </c>
      <c r="J699" s="37">
        <f ca="1">IFERROR(__xludf.DUMMYFUNCTION("IMPORTRANGE(""https://docs.google.com/spreadsheets/d/1XWAQStnk-4SwqDmLtmXYiTMKHgktTP8We1SCoS47DrQ/edit?usp=sharing"",""จัดที่ดิน!BB88"")"),0)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 hidden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IFERROR(__xludf.DUMMYFUNCTION("IMPORTRANGE(""https://docs.google.com/spreadsheets/d/1QqKyyYR6Q21VydFLVH3TRQUabQu_ym0Zz7PgGX0-kHA/edit?usp=sharing"",""แผน!ID88"")"),0)</f>
        <v>0</v>
      </c>
      <c r="J700" s="37">
        <f ca="1">IFERROR(__xludf.DUMMYFUNCTION("IMPORTRANGE(""https://docs.google.com/spreadsheets/d/1XWAQStnk-4SwqDmLtmXYiTMKHgktTP8We1SCoS47DrQ/edit?usp=sharing"",""จัดที่ดิน!BD88"")"),0)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 hidden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IFERROR(__xludf.DUMMYFUNCTION("IMPORTRANGE(""https://docs.google.com/spreadsheets/d/1QqKyyYR6Q21VydFLVH3TRQUabQu_ym0Zz7PgGX0-kHA/edit?usp=sharing"",""แผน!IE88"")"),0)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 hidden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 hidden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 hidden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IFERROR(__xludf.DUMMYFUNCTION("IMPORTRANGE(""https://docs.google.com/spreadsheets/d/1QqKyyYR6Q21VydFLVH3TRQUabQu_ym0Zz7PgGX0-kHA/edit?usp=sharing"",""แผน!IF88"")"),0)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 hidden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 hidden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 hidden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IFERROR(__xludf.DUMMYFUNCTION("IMPORTRANGE(""https://docs.google.com/spreadsheets/d/1QqKyyYR6Q21VydFLVH3TRQUabQu_ym0Zz7PgGX0-kHA/edit?usp=sharing"",""แผน!IG88"")"),0)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 hidden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IFERROR(__xludf.DUMMYFUNCTION("IMPORTRANGE(""https://docs.google.com/spreadsheets/d/1QqKyyYR6Q21VydFLVH3TRQUabQu_ym0Zz7PgGX0-kHA/edit?usp=sharing"",""แผน!IH88"")"),0)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 hidden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 hidden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 hidden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 hidden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 hidden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 hidden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 hidden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 hidden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 hidden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 hidden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IFERROR(__xludf.DUMMYFUNCTION("IMPORTRANGE(""https://docs.google.com/spreadsheets/d/1XWAQStnk-4SwqDmLtmXYiTMKHgktTP8We1SCoS47DrQ/edit?usp=sharing"",""จัดที่ดิน!BF88"")"),0)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 hidden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IFERROR(__xludf.DUMMYFUNCTION("IMPORTRANGE(""https://docs.google.com/spreadsheets/d/1XWAQStnk-4SwqDmLtmXYiTMKHgktTP8We1SCoS47DrQ/edit?usp=sharing"",""จัดที่ดิน!BG88"")"),0)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 hidden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IFERROR(__xludf.DUMMYFUNCTION("IMPORTRANGE(""https://docs.google.com/spreadsheets/d/1QqKyyYR6Q21VydFLVH3TRQUabQu_ym0Zz7PgGX0-kHA/edit?usp=sharing"",""แผน!II88"")"),0)</f>
        <v>0</v>
      </c>
      <c r="J720" s="37">
        <f ca="1">IFERROR(__xludf.DUMMYFUNCTION("IMPORTRANGE(""https://docs.google.com/spreadsheets/d/1XWAQStnk-4SwqDmLtmXYiTMKHgktTP8We1SCoS47DrQ/edit?usp=sharing"",""จัดที่ดิน!BH88"")"),0)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 hidden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IFERROR(__xludf.DUMMYFUNCTION("IMPORTRANGE(""https://docs.google.com/spreadsheets/d/1QqKyyYR6Q21VydFLVH3TRQUabQu_ym0Zz7PgGX0-kHA/edit?usp=sharing"",""แผน!IJ88"")"),0)</f>
        <v>0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 hidden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IFERROR(__xludf.DUMMYFUNCTION("IMPORTRANGE(""https://docs.google.com/spreadsheets/d/1QqKyyYR6Q21VydFLVH3TRQUabQu_ym0Zz7PgGX0-kHA/edit?usp=sharing"",""แผน!IK88"")"),0)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 hidden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IFERROR(__xludf.DUMMYFUNCTION("IMPORTRANGE(""https://docs.google.com/spreadsheets/d/1QqKyyYR6Q21VydFLVH3TRQUabQu_ym0Zz7PgGX0-kHA/edit?usp=sharing"",""แผน!IL88"")"),0)</f>
        <v>0</v>
      </c>
      <c r="J723" s="37">
        <f ca="1">IFERROR(__xludf.DUMMYFUNCTION("IMPORTRANGE(""https://docs.google.com/spreadsheets/d/1XWAQStnk-4SwqDmLtmXYiTMKHgktTP8We1SCoS47DrQ/edit?usp=sharing"",""จัดที่ดิน!BM88"")"),0)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 hidden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IFERROR(__xludf.DUMMYFUNCTION("IMPORTRANGE(""https://docs.google.com/spreadsheets/d/1XWAQStnk-4SwqDmLtmXYiTMKHgktTP8We1SCoS47DrQ/edit?usp=sharing"",""จัดที่ดิน!BN88"")"),0)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 hidden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IFERROR(__xludf.DUMMYFUNCTION("IMPORTRANGE(""https://docs.google.com/spreadsheets/d/1QqKyyYR6Q21VydFLVH3TRQUabQu_ym0Zz7PgGX0-kHA/edit?usp=sharing"",""แผน!IM88"")"),0)</f>
        <v>0</v>
      </c>
      <c r="J725" s="37">
        <f ca="1">IFERROR(__xludf.DUMMYFUNCTION("IMPORTRANGE(""https://docs.google.com/spreadsheets/d/1XWAQStnk-4SwqDmLtmXYiTMKHgktTP8We1SCoS47DrQ/edit?usp=sharing"",""จัดที่ดิน!BO88"")"),0)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 hidden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IFERROR(__xludf.DUMMYFUNCTION("IMPORTRANGE(""https://docs.google.com/spreadsheets/d/1QqKyyYR6Q21VydFLVH3TRQUabQu_ym0Zz7PgGX0-kHA/edit?usp=sharing"",""แผน!IN88"")"),0)</f>
        <v>0</v>
      </c>
      <c r="J726" s="37">
        <f ca="1">IFERROR(__xludf.DUMMYFUNCTION("IMPORTRANGE(""https://docs.google.com/spreadsheets/d/1XWAQStnk-4SwqDmLtmXYiTMKHgktTP8We1SCoS47DrQ/edit?usp=sharing"",""จัดที่ดิน!BR88"")"),0)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 hidden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IFERROR(__xludf.DUMMYFUNCTION("IMPORTRANGE(""https://docs.google.com/spreadsheets/d/1XWAQStnk-4SwqDmLtmXYiTMKHgktTP8We1SCoS47DrQ/edit?usp=sharing"",""จัดที่ดิน!BS88"")"),0)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 hidden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IFERROR(__xludf.DUMMYFUNCTION("IMPORTRANGE(""https://docs.google.com/spreadsheets/d/1QqKyyYR6Q21VydFLVH3TRQUabQu_ym0Zz7PgGX0-kHA/edit?usp=sharing"",""แผน!IO88"")"),0)</f>
        <v>0</v>
      </c>
      <c r="J728" s="37">
        <f ca="1">IFERROR(__xludf.DUMMYFUNCTION("IMPORTRANGE(""https://docs.google.com/spreadsheets/d/1XWAQStnk-4SwqDmLtmXYiTMKHgktTP8We1SCoS47DrQ/edit?usp=sharing"",""จัดที่ดิน!BT88"")"),0)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 hidden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IFERROR(__xludf.DUMMYFUNCTION("IMPORTRANGE(""https://docs.google.com/spreadsheets/d/1QqKyyYR6Q21VydFLVH3TRQUabQu_ym0Zz7PgGX0-kHA/edit?usp=sharing"",""แผน!IP88"")"),0)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 hidden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 hidden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 hidden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 hidden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 hidden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 hidden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IFERROR(__xludf.DUMMYFUNCTION("IMPORTRANGE(""https://docs.google.com/spreadsheets/d/1QqKyyYR6Q21VydFLVH3TRQUabQu_ym0Zz7PgGX0-kHA/edit?usp=sharing"",""แผน!JJ88"")"),0)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IFERROR(__xludf.DUMMYFUNCTION("IMPORTRANGE(""https://docs.google.com/spreadsheets/d/1QqKyyYR6Q21VydFLVH3TRQUabQu_ym0Zz7PgGX0-kHA/edit?usp=sharing"",""แผน!JN88"")"),0)</f>
        <v>0</v>
      </c>
      <c r="J800" s="161">
        <f ca="1">IFERROR(__xludf.DUMMYFUNCTION("IMPORTRANGE(""https://docs.google.com/spreadsheets/d/1MaWodYyGHDf7siQLGxnXhG4mBNTNIuy296niS2xXulU/edit?usp=sharing"",""RTK!H88"")"),0)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IFERROR(__xludf.DUMMYFUNCTION("IMPORTRANGE(""https://docs.google.com/spreadsheets/d/1MaWodYyGHDf7siQLGxnXhG4mBNTNIuy296niS2xXulU/edit?usp=sharing"",""RTK!I88"")"),0)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341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37">
        <f ca="1">IFERROR(__xludf.DUMMYFUNCTION("IMPORTRANGE(""https://docs.google.com/spreadsheets/d/19vJNZY_5yjcGF2XGBMNZRCAIB0Kwfpjp8YEOfu-bneM/edit?usp=sharing"",""งานกองทุน!F88"")"),3153606.54)</f>
        <v>3153606.54</v>
      </c>
      <c r="K821" s="38">
        <f t="shared" ref="K821:K828" ca="1" si="335">IF(I821&gt;0,J821*100/I821,0)</f>
        <v>71.983978722332367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IFERROR(__xludf.DUMMYFUNCTION("IMPORTRANGE(""https://docs.google.com/spreadsheets/d/19vJNZY_5yjcGF2XGBMNZRCAIB0Kwfpjp8YEOfu-bneM/edit?usp=sharing"",""งานกองทุน!C88"")"),276)</f>
        <v>276</v>
      </c>
      <c r="J822" s="37">
        <f ca="1">IFERROR(__xludf.DUMMYFUNCTION("IMPORTRANGE(""https://docs.google.com/spreadsheets/d/19vJNZY_5yjcGF2XGBMNZRCAIB0Kwfpjp8YEOfu-bneM/edit?usp=sharing"",""งานกองทุน!E88"")"),211)</f>
        <v>211</v>
      </c>
      <c r="K822" s="38">
        <f t="shared" ca="1" si="335"/>
        <v>76.449275362318843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37">
        <f ca="1">IFERROR(__xludf.DUMMYFUNCTION("IMPORTRANGE(""https://docs.google.com/spreadsheets/d/19vJNZY_5yjcGF2XGBMNZRCAIB0Kwfpjp8YEOfu-bneM/edit?usp=sharing"",""งานกองทุน!K88"")"),553646.48)</f>
        <v>553646.48</v>
      </c>
      <c r="K823" s="38">
        <f t="shared" ca="1" si="335"/>
        <v>30.986188724534156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IFERROR(__xludf.DUMMYFUNCTION("IMPORTRANGE(""https://docs.google.com/spreadsheets/d/19vJNZY_5yjcGF2XGBMNZRCAIB0Kwfpjp8YEOfu-bneM/edit?usp=sharing"",""งานกองทุน!H88"")"),60)</f>
        <v>60</v>
      </c>
      <c r="J824" s="37">
        <f ca="1">IFERROR(__xludf.DUMMYFUNCTION("IMPORTRANGE(""https://docs.google.com/spreadsheets/d/19vJNZY_5yjcGF2XGBMNZRCAIB0Kwfpjp8YEOfu-bneM/edit?usp=sharing"",""งานกองทุน!J88"")"),50)</f>
        <v>50</v>
      </c>
      <c r="K824" s="38">
        <f t="shared" ca="1" si="335"/>
        <v>83.333333333333329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IFERROR(__xludf.DUMMYFUNCTION("IMPORTRANGE(""https://docs.google.com/spreadsheets/d/19vJNZY_5yjcGF2XGBMNZRCAIB0Kwfpjp8YEOfu-bneM/edit?usp=sharing"",""งานกองทุน!N88"")"),6822)</f>
        <v>6822</v>
      </c>
      <c r="J825" s="37">
        <f ca="1">IFERROR(__xludf.DUMMYFUNCTION("IMPORTRANGE(""https://docs.google.com/spreadsheets/d/19vJNZY_5yjcGF2XGBMNZRCAIB0Kwfpjp8YEOfu-bneM/edit?usp=sharing"",""งานกองทุน!P88"")"),266962)</f>
        <v>266962</v>
      </c>
      <c r="K825" s="38">
        <f t="shared" ca="1" si="335"/>
        <v>3913.2512459689242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IFERROR(__xludf.DUMMYFUNCTION("IMPORTRANGE(""https://docs.google.com/spreadsheets/d/19vJNZY_5yjcGF2XGBMNZRCAIB0Kwfpjp8YEOfu-bneM/edit?usp=sharing"",""งานกองทุน!M88"")"),10)</f>
        <v>10</v>
      </c>
      <c r="J826" s="37">
        <f ca="1">IFERROR(__xludf.DUMMYFUNCTION("IMPORTRANGE(""https://docs.google.com/spreadsheets/d/19vJNZY_5yjcGF2XGBMNZRCAIB0Kwfpjp8YEOfu-bneM/edit?usp=sharing"",""งานกองทุน!O88"")"),81)</f>
        <v>81</v>
      </c>
      <c r="K826" s="38">
        <f t="shared" ca="1" si="335"/>
        <v>810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IFERROR(__xludf.DUMMYFUNCTION("IMPORTRANGE(""https://docs.google.com/spreadsheets/d/19vJNZY_5yjcGF2XGBMNZRCAIB0Kwfpjp8YEOfu-bneM/edit?usp=sharing"",""งานกองทุน!S88"")"),2150000)</f>
        <v>2150000</v>
      </c>
      <c r="J827" s="37">
        <f ca="1">IFERROR(__xludf.DUMMYFUNCTION("IMPORTRANGE(""https://docs.google.com/spreadsheets/d/19vJNZY_5yjcGF2XGBMNZRCAIB0Kwfpjp8YEOfu-bneM/edit?usp=sharing"",""งานกองทุน!U88"")"),950000)</f>
        <v>950000</v>
      </c>
      <c r="K827" s="38">
        <f t="shared" ca="1" si="335"/>
        <v>44.186046511627907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IFERROR(__xludf.DUMMYFUNCTION("IMPORTRANGE(""https://docs.google.com/spreadsheets/d/19vJNZY_5yjcGF2XGBMNZRCAIB0Kwfpjp8YEOfu-bneM/edit?usp=sharing"",""งานกองทุน!R88"")"),86)</f>
        <v>86</v>
      </c>
      <c r="J828" s="365">
        <f ca="1">IFERROR(__xludf.DUMMYFUNCTION("IMPORTRANGE(""https://docs.google.com/spreadsheets/d/19vJNZY_5yjcGF2XGBMNZRCAIB0Kwfpjp8YEOfu-bneM/edit?usp=sharing"",""งานกองทุน!T88"")"),19)</f>
        <v>19</v>
      </c>
      <c r="K828" s="475">
        <f t="shared" ca="1" si="335"/>
        <v>22.093023255813954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C9556-C503-4EDB-8BB9-B87089F79ABC}">
  <sheetPr>
    <outlinePr summaryBelow="0" summaryRight="0"/>
    <pageSetUpPr fitToPage="1"/>
  </sheetPr>
  <dimension ref="A1:Z828"/>
  <sheetViews>
    <sheetView view="pageBreakPreview" zoomScale="60" zoomScaleNormal="100" workbookViewId="0">
      <pane ySplit="2" topLeftCell="A3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5.36328125" bestFit="1" customWidth="1"/>
    <col min="11" max="11" width="11.453125" bestFit="1" customWidth="1"/>
    <col min="12" max="14" width="20.816406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330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68558997</v>
      </c>
      <c r="M8" s="22">
        <f t="shared" ca="1" si="0"/>
        <v>68688414.189999998</v>
      </c>
      <c r="N8" s="22">
        <f t="shared" ca="1" si="0"/>
        <v>34178867.719999999</v>
      </c>
      <c r="O8" s="22">
        <f t="shared" ref="O8:O16" ca="1" si="1">IF(L8&gt;0,N8*100/L8,0)</f>
        <v>49.853220168900663</v>
      </c>
      <c r="P8" s="22">
        <f t="shared" ref="P8:P16" ca="1" si="2">IF(M8&gt;0,N8*100/M8,0)</f>
        <v>49.759290737819846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68558997</v>
      </c>
      <c r="M10" s="30">
        <f t="shared" ca="1" si="3"/>
        <v>68688414.189999998</v>
      </c>
      <c r="N10" s="30">
        <f t="shared" ca="1" si="3"/>
        <v>34178867.719999999</v>
      </c>
      <c r="O10" s="30">
        <f t="shared" ca="1" si="1"/>
        <v>49.853220168900663</v>
      </c>
      <c r="P10" s="30">
        <f t="shared" ca="1" si="2"/>
        <v>49.759290737819846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4861197</v>
      </c>
      <c r="M11" s="38">
        <f t="shared" ca="1" si="4"/>
        <v>5061583</v>
      </c>
      <c r="N11" s="38">
        <f t="shared" ca="1" si="4"/>
        <v>3183732.5299999993</v>
      </c>
      <c r="O11" s="38">
        <f t="shared" ca="1" si="1"/>
        <v>65.492769167758468</v>
      </c>
      <c r="P11" s="38">
        <f t="shared" ca="1" si="2"/>
        <v>62.899937233075093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4861197</v>
      </c>
      <c r="M13" s="45">
        <f t="shared" ca="1" si="5"/>
        <v>5061583</v>
      </c>
      <c r="N13" s="45">
        <f t="shared" ca="1" si="5"/>
        <v>3183732.5299999993</v>
      </c>
      <c r="O13" s="45">
        <f t="shared" ca="1" si="1"/>
        <v>65.492769167758468</v>
      </c>
      <c r="P13" s="45">
        <f t="shared" ca="1" si="2"/>
        <v>62.899937233075093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63697800</v>
      </c>
      <c r="M14" s="38">
        <f t="shared" ca="1" si="6"/>
        <v>63626831.189999998</v>
      </c>
      <c r="N14" s="38">
        <f t="shared" ca="1" si="6"/>
        <v>30995135.190000001</v>
      </c>
      <c r="O14" s="38">
        <f t="shared" ca="1" si="1"/>
        <v>48.65966358335767</v>
      </c>
      <c r="P14" s="38">
        <f t="shared" ca="1" si="2"/>
        <v>48.713938145754135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63626831.189999998</v>
      </c>
      <c r="N16" s="52">
        <f t="shared" ca="1" si="7"/>
        <v>30995135.190000001</v>
      </c>
      <c r="O16" s="52">
        <f t="shared" ca="1" si="1"/>
        <v>48.65966358335767</v>
      </c>
      <c r="P16" s="52">
        <f t="shared" ca="1" si="2"/>
        <v>48.713938145754135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66954837.189999998</v>
      </c>
      <c r="N18" s="22">
        <f t="shared" ca="1" si="8"/>
        <v>33666012.380000003</v>
      </c>
      <c r="O18" s="22">
        <f t="shared" ref="O18:O26" ca="1" si="9">IF(L18&gt;0,N18*100/L18,0)</f>
        <v>50.379050936006095</v>
      </c>
      <c r="P18" s="22">
        <f t="shared" ref="P18:P26" ca="1" si="10">IF(M18&gt;0,N18*100/M18,0)</f>
        <v>50.281673129104661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66954837.189999998</v>
      </c>
      <c r="N20" s="30">
        <f t="shared" ca="1" si="11"/>
        <v>33666012.380000003</v>
      </c>
      <c r="O20" s="30">
        <f t="shared" ca="1" si="9"/>
        <v>50.379050936006095</v>
      </c>
      <c r="P20" s="30">
        <f t="shared" ca="1" si="10"/>
        <v>50.281673129104661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3127620</v>
      </c>
      <c r="M21" s="38">
        <f t="shared" ca="1" si="12"/>
        <v>3328006</v>
      </c>
      <c r="N21" s="38">
        <f t="shared" ca="1" si="12"/>
        <v>2670877.1899999995</v>
      </c>
      <c r="O21" s="38">
        <f t="shared" ca="1" si="9"/>
        <v>85.396473676469626</v>
      </c>
      <c r="P21" s="38">
        <f t="shared" ca="1" si="10"/>
        <v>80.25457856746651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3127620</v>
      </c>
      <c r="M23" s="45">
        <f t="shared" ca="1" si="13"/>
        <v>3328006</v>
      </c>
      <c r="N23" s="45">
        <f t="shared" ca="1" si="13"/>
        <v>2670877.1899999995</v>
      </c>
      <c r="O23" s="45">
        <f t="shared" ca="1" si="9"/>
        <v>85.396473676469626</v>
      </c>
      <c r="P23" s="45">
        <f t="shared" ca="1" si="10"/>
        <v>80.25457856746651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63697800</v>
      </c>
      <c r="M24" s="38">
        <f t="shared" ca="1" si="14"/>
        <v>63626831.189999998</v>
      </c>
      <c r="N24" s="38">
        <f t="shared" ca="1" si="14"/>
        <v>30995135.190000001</v>
      </c>
      <c r="O24" s="38">
        <f t="shared" ca="1" si="9"/>
        <v>48.65966358335767</v>
      </c>
      <c r="P24" s="38">
        <f t="shared" ca="1" si="10"/>
        <v>48.713938145754135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63626831.189999998</v>
      </c>
      <c r="N26" s="52">
        <f t="shared" ca="1" si="15"/>
        <v>30995135.190000001</v>
      </c>
      <c r="O26" s="52">
        <f t="shared" ca="1" si="9"/>
        <v>48.65966358335767</v>
      </c>
      <c r="P26" s="52">
        <f t="shared" ca="1" si="10"/>
        <v>48.713938145754135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1733577</v>
      </c>
      <c r="M28" s="22">
        <f t="shared" ca="1" si="16"/>
        <v>1733577</v>
      </c>
      <c r="N28" s="22">
        <f t="shared" si="16"/>
        <v>512855.34</v>
      </c>
      <c r="O28" s="22">
        <f t="shared" ref="O28:O37" ca="1" si="17">IF(L28&gt;0,N28*100/L28,0)</f>
        <v>29.583649298531302</v>
      </c>
      <c r="P28" s="22">
        <f t="shared" ref="P28:P37" ca="1" si="18">IF(M28&gt;0,N28*100/M28,0)</f>
        <v>29.583649298531302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1733577</v>
      </c>
      <c r="M30" s="30">
        <f t="shared" ca="1" si="19"/>
        <v>1733577</v>
      </c>
      <c r="N30" s="30">
        <f t="shared" si="19"/>
        <v>512855.34</v>
      </c>
      <c r="O30" s="30">
        <f t="shared" ca="1" si="17"/>
        <v>29.583649298531302</v>
      </c>
      <c r="P30" s="30">
        <f t="shared" ca="1" si="18"/>
        <v>29.583649298531302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1733577</v>
      </c>
      <c r="M31" s="38">
        <f t="shared" ca="1" si="20"/>
        <v>1733577</v>
      </c>
      <c r="N31" s="38">
        <f t="shared" si="20"/>
        <v>512855.34</v>
      </c>
      <c r="O31" s="38">
        <f t="shared" ca="1" si="17"/>
        <v>29.583649298531302</v>
      </c>
      <c r="P31" s="38">
        <f t="shared" ca="1" si="18"/>
        <v>29.583649298531302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1733577</v>
      </c>
      <c r="M33" s="45">
        <f t="shared" ca="1" si="21"/>
        <v>1733577</v>
      </c>
      <c r="N33" s="45">
        <f t="shared" si="21"/>
        <v>512855.34</v>
      </c>
      <c r="O33" s="45">
        <f t="shared" ca="1" si="17"/>
        <v>29.583649298531302</v>
      </c>
      <c r="P33" s="45">
        <f t="shared" ca="1" si="18"/>
        <v>29.583649298531302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66825420</v>
      </c>
      <c r="M37" s="792">
        <f t="shared" ca="1" si="24"/>
        <v>66954837.189999998</v>
      </c>
      <c r="N37" s="792">
        <f t="shared" ca="1" si="24"/>
        <v>33666012.380000003</v>
      </c>
      <c r="O37" s="792">
        <f t="shared" ca="1" si="17"/>
        <v>50.379050936006095</v>
      </c>
      <c r="P37" s="792">
        <f t="shared" ca="1" si="18"/>
        <v>50.281673129104661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554996</v>
      </c>
      <c r="N41" s="85">
        <f t="shared" ca="1" si="25"/>
        <v>434038.61</v>
      </c>
      <c r="O41" s="85">
        <f t="shared" ref="O41:O49" ca="1" si="26">IF(L41&gt;0,N41*100/L41,0)</f>
        <v>81.578537731416219</v>
      </c>
      <c r="P41" s="85">
        <f t="shared" ref="P41:P49" ca="1" si="27">IF(M41&gt;0,N41*100/M41,0)</f>
        <v>78.205718599773689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554996</v>
      </c>
      <c r="N43" s="92">
        <f t="shared" ca="1" si="28"/>
        <v>434038.61</v>
      </c>
      <c r="O43" s="92">
        <f t="shared" ca="1" si="26"/>
        <v>81.578537731416219</v>
      </c>
      <c r="P43" s="92">
        <f t="shared" ca="1" si="27"/>
        <v>78.205718599773689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532050</v>
      </c>
      <c r="M44" s="38">
        <f t="shared" ca="1" si="29"/>
        <v>554996</v>
      </c>
      <c r="N44" s="38">
        <f t="shared" ca="1" si="29"/>
        <v>434038.61</v>
      </c>
      <c r="O44" s="38">
        <f t="shared" ca="1" si="26"/>
        <v>81.578537731416219</v>
      </c>
      <c r="P44" s="38">
        <f t="shared" ca="1" si="27"/>
        <v>78.205718599773689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IFERROR(__xludf.DUMMYFUNCTION("IMPORTRANGE(""https://docs.google.com/spreadsheets/d/1MeEWN-I1oV_STSDYn1IFDPWt_1FKiwhDph83XaGc0o0/edit?usp=sharing"",""งบพรบ!M75"")"),532050)</f>
        <v>532050</v>
      </c>
      <c r="M46" s="45">
        <f ca="1">IFERROR(__xludf.DUMMYFUNCTION("IMPORTRANGE(""https://docs.google.com/spreadsheets/d/1MeEWN-I1oV_STSDYn1IFDPWt_1FKiwhDph83XaGc0o0/edit?usp=sharing"",""งบพรบ!R75"")"),554996)</f>
        <v>554996</v>
      </c>
      <c r="N46" s="45">
        <f ca="1">IFERROR(__xludf.DUMMYFUNCTION("IMPORTRANGE(""https://docs.google.com/spreadsheets/d/1MeEWN-I1oV_STSDYn1IFDPWt_1FKiwhDph83XaGc0o0/edit?usp=sharing"",""งบพรบ!T75"")"),434038.61)</f>
        <v>434038.61</v>
      </c>
      <c r="O46" s="45">
        <f t="shared" ca="1" si="26"/>
        <v>81.578537731416219</v>
      </c>
      <c r="P46" s="45">
        <f t="shared" ca="1" si="27"/>
        <v>78.205718599773689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654600</v>
      </c>
      <c r="M53" s="115">
        <f t="shared" ca="1" si="31"/>
        <v>657500</v>
      </c>
      <c r="N53" s="115">
        <f t="shared" ca="1" si="31"/>
        <v>580898.24</v>
      </c>
      <c r="O53" s="115">
        <f t="shared" ref="O53:O61" ca="1" si="32">IF(L53&gt;0,N53*100/L53,0)</f>
        <v>88.74094714329361</v>
      </c>
      <c r="P53" s="115">
        <f t="shared" ref="P53:P61" ca="1" si="33">IF(M53&gt;0,N53*100/M53,0)</f>
        <v>88.349542205323189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654600</v>
      </c>
      <c r="M55" s="122">
        <f t="shared" ca="1" si="34"/>
        <v>657500</v>
      </c>
      <c r="N55" s="122">
        <f t="shared" ca="1" si="34"/>
        <v>580898.24</v>
      </c>
      <c r="O55" s="122">
        <f t="shared" ca="1" si="32"/>
        <v>88.74094714329361</v>
      </c>
      <c r="P55" s="122">
        <f t="shared" ca="1" si="33"/>
        <v>88.349542205323189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654600</v>
      </c>
      <c r="M56" s="38">
        <f t="shared" ca="1" si="35"/>
        <v>657500</v>
      </c>
      <c r="N56" s="38">
        <f t="shared" ca="1" si="35"/>
        <v>580898.24</v>
      </c>
      <c r="O56" s="38">
        <f t="shared" ca="1" si="32"/>
        <v>88.74094714329361</v>
      </c>
      <c r="P56" s="38">
        <f t="shared" ca="1" si="33"/>
        <v>88.349542205323189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IFERROR(__xludf.DUMMYFUNCTION("IMPORTRANGE(""https://docs.google.com/spreadsheets/d/1MeEWN-I1oV_STSDYn1IFDPWt_1FKiwhDph83XaGc0o0/edit?usp=sharing"",""งบพรบ!W75"")"),654600)</f>
        <v>654600</v>
      </c>
      <c r="M58" s="45">
        <f ca="1">IFERROR(__xludf.DUMMYFUNCTION("IMPORTRANGE(""https://docs.google.com/spreadsheets/d/1MeEWN-I1oV_STSDYn1IFDPWt_1FKiwhDph83XaGc0o0/edit?usp=sharing"",""งบพรบ!AB75"")"),657500)</f>
        <v>657500</v>
      </c>
      <c r="N58" s="45">
        <f ca="1">IFERROR(__xludf.DUMMYFUNCTION("IMPORTRANGE(""https://docs.google.com/spreadsheets/d/1MeEWN-I1oV_STSDYn1IFDPWt_1FKiwhDph83XaGc0o0/edit?usp=sharing"",""งบพรบ!AD75"")"),580898.24)</f>
        <v>580898.24</v>
      </c>
      <c r="O58" s="45">
        <f t="shared" ca="1" si="32"/>
        <v>88.74094714329361</v>
      </c>
      <c r="P58" s="45">
        <f t="shared" ca="1" si="33"/>
        <v>88.349542205323189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30</v>
      </c>
      <c r="J65" s="143">
        <f t="shared" si="37"/>
        <v>30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688200</v>
      </c>
      <c r="M66" s="154">
        <f t="shared" ca="1" si="39"/>
        <v>688200</v>
      </c>
      <c r="N66" s="154">
        <f t="shared" ca="1" si="39"/>
        <v>541773.80000000005</v>
      </c>
      <c r="O66" s="154">
        <f t="shared" ref="O66:O74" ca="1" si="40">IF(L66&gt;0,N66*100/L66,0)</f>
        <v>78.723307178145902</v>
      </c>
      <c r="P66" s="154">
        <f t="shared" ref="P66:P74" ca="1" si="41">IF(M66&gt;0,N66*100/M66,0)</f>
        <v>78.723307178145902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688200</v>
      </c>
      <c r="M68" s="45">
        <f t="shared" ca="1" si="42"/>
        <v>688200</v>
      </c>
      <c r="N68" s="45">
        <f t="shared" ca="1" si="42"/>
        <v>541773.80000000005</v>
      </c>
      <c r="O68" s="45">
        <f t="shared" ca="1" si="40"/>
        <v>78.723307178145902</v>
      </c>
      <c r="P68" s="45">
        <f t="shared" ca="1" si="41"/>
        <v>78.723307178145902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688200</v>
      </c>
      <c r="M69" s="38">
        <f t="shared" ca="1" si="43"/>
        <v>688200</v>
      </c>
      <c r="N69" s="38">
        <f t="shared" ca="1" si="43"/>
        <v>541773.80000000005</v>
      </c>
      <c r="O69" s="38">
        <f t="shared" ca="1" si="40"/>
        <v>78.723307178145902</v>
      </c>
      <c r="P69" s="38">
        <f t="shared" ca="1" si="41"/>
        <v>78.723307178145902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IFERROR(__xludf.DUMMYFUNCTION("IMPORTRANGE(""https://docs.google.com/spreadsheets/d/1MeEWN-I1oV_STSDYn1IFDPWt_1FKiwhDph83XaGc0o0/edit?usp=sharing"",""งบพรบ!AG75"")"),688200)</f>
        <v>688200</v>
      </c>
      <c r="M71" s="45">
        <f ca="1">IFERROR(__xludf.DUMMYFUNCTION("IMPORTRANGE(""https://docs.google.com/spreadsheets/d/1MeEWN-I1oV_STSDYn1IFDPWt_1FKiwhDph83XaGc0o0/edit?usp=sharing"",""งบพรบ!AL75"")"),688200)</f>
        <v>688200</v>
      </c>
      <c r="N71" s="45">
        <f ca="1">IFERROR(__xludf.DUMMYFUNCTION("IMPORTRANGE(""https://docs.google.com/spreadsheets/d/1MeEWN-I1oV_STSDYn1IFDPWt_1FKiwhDph83XaGc0o0/edit?usp=sharing"",""งบพรบ!AN75"")"),541773.8)</f>
        <v>541773.80000000005</v>
      </c>
      <c r="O71" s="45">
        <f t="shared" ca="1" si="40"/>
        <v>78.723307178145902</v>
      </c>
      <c r="P71" s="45">
        <f t="shared" ca="1" si="41"/>
        <v>78.723307178145902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IFERROR(__xludf.DUMMYFUNCTION("IMPORTRANGE(""https://docs.google.com/spreadsheets/d/1MeEWN-I1oV_STSDYn1IFDPWt_1FKiwhDph83XaGc0o0/edit?usp=sharing"",""งบพรบ!AJ75"")"),0)</f>
        <v>0</v>
      </c>
      <c r="M74" s="45">
        <f ca="1">IFERROR(__xludf.DUMMYFUNCTION("IMPORTRANGE(""https://docs.google.com/spreadsheets/d/1MeEWN-I1oV_STSDYn1IFDPWt_1FKiwhDph83XaGc0o0/edit?usp=sharing"",""งบพรบ!AM75"")"),0)</f>
        <v>0</v>
      </c>
      <c r="N74" s="45">
        <f ca="1">IFERROR(__xludf.DUMMYFUNCTION("IMPORTRANGE(""https://docs.google.com/spreadsheets/d/1MeEWN-I1oV_STSDYn1IFDPWt_1FKiwhDph83XaGc0o0/edit?usp=sharing"",""งบพรบ!AO75"")"),0)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30</v>
      </c>
      <c r="J77" s="37">
        <f t="shared" si="45"/>
        <v>30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IFERROR(__xludf.DUMMYFUNCTION("IMPORTRANGE(""https://docs.google.com/spreadsheets/d/1QqKyyYR6Q21VydFLVH3TRQUabQu_ym0Zz7PgGX0-kHA/edit?usp=sharing"",""แผน!H75"")"),0)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IFERROR(__xludf.DUMMYFUNCTION("IMPORTRANGE(""https://docs.google.com/spreadsheets/d/1QqKyyYR6Q21VydFLVH3TRQUabQu_ym0Zz7PgGX0-kHA/edit?usp=sharing"",""แผน!I75"")"),0)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IFERROR(__xludf.DUMMYFUNCTION("IMPORTRANGE(""https://docs.google.com/spreadsheets/d/1QqKyyYR6Q21VydFLVH3TRQUabQu_ym0Zz7PgGX0-kHA/edit?usp=sharing"",""แผน!F75"")"),0)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IFERROR(__xludf.DUMMYFUNCTION("IMPORTRANGE(""https://docs.google.com/spreadsheets/d/1QqKyyYR6Q21VydFLVH3TRQUabQu_ym0Zz7PgGX0-kHA/edit?usp=sharing"",""แผน!G75"")"),0)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IFERROR(__xludf.DUMMYFUNCTION("IMPORTRANGE(""https://docs.google.com/spreadsheets/d/1QqKyyYR6Q21VydFLVH3TRQUabQu_ym0Zz7PgGX0-kHA/edit?usp=sharing"",""แผน!D75"")"),1)</f>
        <v>1</v>
      </c>
      <c r="J82" s="181">
        <v>1</v>
      </c>
      <c r="K82" s="162">
        <f t="shared" ca="1" si="46"/>
        <v>100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IFERROR(__xludf.DUMMYFUNCTION("IMPORTRANGE(""https://docs.google.com/spreadsheets/d/1QqKyyYR6Q21VydFLVH3TRQUabQu_ym0Zz7PgGX0-kHA/edit?usp=sharing"",""แผน!E75"")"),30)</f>
        <v>30</v>
      </c>
      <c r="J83" s="181">
        <v>30</v>
      </c>
      <c r="K83" s="162">
        <f t="shared" ca="1" si="46"/>
        <v>100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IFERROR(__xludf.DUMMYFUNCTION("IMPORTRANGE(""https://docs.google.com/spreadsheets/d/1QqKyyYR6Q21VydFLVH3TRQUabQu_ym0Zz7PgGX0-kHA/edit?usp=sharing"",""แผน!J75"")"),1)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85840</v>
      </c>
      <c r="M88" s="154">
        <f t="shared" ca="1" si="49"/>
        <v>85840</v>
      </c>
      <c r="N88" s="154">
        <f t="shared" ca="1" si="49"/>
        <v>85403</v>
      </c>
      <c r="O88" s="154">
        <f t="shared" ref="O88:O96" ca="1" si="50">IF(L88&gt;0,N88*100/L88,0)</f>
        <v>99.490913327120225</v>
      </c>
      <c r="P88" s="154">
        <f t="shared" ref="P88:P96" ca="1" si="51">IF(M88&gt;0,N88*100/M88,0)</f>
        <v>99.490913327120225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85840</v>
      </c>
      <c r="M90" s="45">
        <f t="shared" ca="1" si="52"/>
        <v>85840</v>
      </c>
      <c r="N90" s="45">
        <f t="shared" ca="1" si="52"/>
        <v>85403</v>
      </c>
      <c r="O90" s="45">
        <f t="shared" ca="1" si="50"/>
        <v>99.490913327120225</v>
      </c>
      <c r="P90" s="45">
        <f t="shared" ca="1" si="51"/>
        <v>99.490913327120225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85840</v>
      </c>
      <c r="M91" s="38">
        <f t="shared" ca="1" si="53"/>
        <v>85840</v>
      </c>
      <c r="N91" s="38">
        <f t="shared" ca="1" si="53"/>
        <v>85403</v>
      </c>
      <c r="O91" s="38">
        <f t="shared" ca="1" si="50"/>
        <v>99.490913327120225</v>
      </c>
      <c r="P91" s="38">
        <f t="shared" ca="1" si="51"/>
        <v>99.490913327120225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IFERROR(__xludf.DUMMYFUNCTION("IMPORTRANGE(""https://docs.google.com/spreadsheets/d/1MeEWN-I1oV_STSDYn1IFDPWt_1FKiwhDph83XaGc0o0/edit?usp=sharing"",""งบพรบ!AQ75"")"),85840)</f>
        <v>85840</v>
      </c>
      <c r="M93" s="45">
        <f ca="1">IFERROR(__xludf.DUMMYFUNCTION("IMPORTRANGE(""https://docs.google.com/spreadsheets/d/1MeEWN-I1oV_STSDYn1IFDPWt_1FKiwhDph83XaGc0o0/edit?usp=sharing"",""งบพรบ!AV75"")"),85840)</f>
        <v>85840</v>
      </c>
      <c r="N93" s="45">
        <f ca="1">IFERROR(__xludf.DUMMYFUNCTION("IMPORTRANGE(""https://docs.google.com/spreadsheets/d/1MeEWN-I1oV_STSDYn1IFDPWt_1FKiwhDph83XaGc0o0/edit?usp=sharing"",""งบพรบ!AX75"")"),85403)</f>
        <v>85403</v>
      </c>
      <c r="O93" s="45">
        <f t="shared" ca="1" si="50"/>
        <v>99.490913327120225</v>
      </c>
      <c r="P93" s="45">
        <f t="shared" ca="1" si="51"/>
        <v>99.490913327120225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IFERROR(__xludf.DUMMYFUNCTION("IMPORTRANGE(""https://docs.google.com/spreadsheets/d/1MeEWN-I1oV_STSDYn1IFDPWt_1FKiwhDph83XaGc0o0/edit?usp=sharing"",""งบพรบ!AT75"")"),0)</f>
        <v>0</v>
      </c>
      <c r="M96" s="45">
        <f ca="1">IFERROR(__xludf.DUMMYFUNCTION("IMPORTRANGE(""https://docs.google.com/spreadsheets/d/1MeEWN-I1oV_STSDYn1IFDPWt_1FKiwhDph83XaGc0o0/edit?usp=sharing"",""งบพรบ!AW75"")"),0)</f>
        <v>0</v>
      </c>
      <c r="N96" s="45">
        <f ca="1">IFERROR(__xludf.DUMMYFUNCTION("IMPORTRANGE(""https://docs.google.com/spreadsheets/d/1MeEWN-I1oV_STSDYn1IFDPWt_1FKiwhDph83XaGc0o0/edit?usp=sharing"",""งบพรบ!AY75"")"),0)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IFERROR(__xludf.DUMMYFUNCTION("IMPORTRANGE(""https://docs.google.com/spreadsheets/d/1QqKyyYR6Q21VydFLVH3TRQUabQu_ym0Zz7PgGX0-kHA/edit?usp=sharing"",""แผน!K75"")"),30)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IFERROR(__xludf.DUMMYFUNCTION("IMPORTRANGE(""https://docs.google.com/spreadsheets/d/1QqKyyYR6Q21VydFLVH3TRQUabQu_ym0Zz7PgGX0-kHA/edit?usp=sharing"",""แผน!L75"")"),10)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IFERROR(__xludf.DUMMYFUNCTION("IMPORTRANGE(""https://docs.google.com/spreadsheets/d/1QqKyyYR6Q21VydFLVH3TRQUabQu_ym0Zz7PgGX0-kHA/edit?usp=sharing"",""แผน!M75"")"),2)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IFERROR(__xludf.DUMMYFUNCTION("IMPORTRANGE(""https://docs.google.com/spreadsheets/d/1QqKyyYR6Q21VydFLVH3TRQUabQu_ym0Zz7PgGX0-kHA/edit?usp=sharing"",""แผน!N75"")"),30)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IFERROR(__xludf.DUMMYFUNCTION("IMPORTRANGE(""https://docs.google.com/spreadsheets/d/1QqKyyYR6Q21VydFLVH3TRQUabQu_ym0Zz7PgGX0-kHA/edit?usp=sharing"",""แผน!O75"")"),10)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IFERROR(__xludf.DUMMYFUNCTION("IMPORTRANGE(""https://docs.google.com/spreadsheets/d/1QqKyyYR6Q21VydFLVH3TRQUabQu_ym0Zz7PgGX0-kHA/edit?usp=sharing"",""แผน!O75"")"),10)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IFERROR(__xludf.DUMMYFUNCTION("IMPORTRANGE(""https://docs.google.com/spreadsheets/d/1QqKyyYR6Q21VydFLVH3TRQUabQu_ym0Zz7PgGX0-kHA/edit?usp=sharing"",""แผน!P75"")"),1)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IFERROR(__xludf.DUMMYFUNCTION("IMPORTRANGE(""https://docs.google.com/spreadsheets/d/1QqKyyYR6Q21VydFLVH3TRQUabQu_ym0Zz7PgGX0-kHA/edit?usp=sharing"",""แผน!P75"")"),1)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IFERROR(__xludf.DUMMYFUNCTION("IMPORTRANGE(""https://docs.google.com/spreadsheets/d/1QqKyyYR6Q21VydFLVH3TRQUabQu_ym0Zz7PgGX0-kHA/edit?usp=sharing"",""แผน!Q75"")"),1)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IFERROR(__xludf.DUMMYFUNCTION("IMPORTRANGE(""https://docs.google.com/spreadsheets/d/1QqKyyYR6Q21VydFLVH3TRQUabQu_ym0Zz7PgGX0-kHA/edit?usp=sharing"",""แผน!Q75"")"),1)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IFERROR(__xludf.DUMMYFUNCTION("IMPORTRANGE(""https://docs.google.com/spreadsheets/d/1QqKyyYR6Q21VydFLVH3TRQUabQu_ym0Zz7PgGX0-kHA/edit?usp=sharing"",""แผน!R75"")"),10)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IFERROR(__xludf.DUMMYFUNCTION("IMPORTRANGE(""https://docs.google.com/spreadsheets/d/1QqKyyYR6Q21VydFLVH3TRQUabQu_ym0Zz7PgGX0-kHA/edit?usp=sharing"",""แผน!R75"")"),10)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IFERROR(__xludf.DUMMYFUNCTION("IMPORTRANGE(""https://docs.google.com/spreadsheets/d/1QqKyyYR6Q21VydFLVH3TRQUabQu_ym0Zz7PgGX0-kHA/edit?usp=sharing"",""แผน!R75"")"),10)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IFERROR(__xludf.DUMMYFUNCTION("IMPORTRANGE(""https://docs.google.com/spreadsheets/d/1QqKyyYR6Q21VydFLVH3TRQUabQu_ym0Zz7PgGX0-kHA/edit?usp=sharing"",""แผน!S75"")"),1)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IFERROR(__xludf.DUMMYFUNCTION("IMPORTRANGE(""https://docs.google.com/spreadsheets/d/1QqKyyYR6Q21VydFLVH3TRQUabQu_ym0Zz7PgGX0-kHA/edit?usp=sharing"",""แผน!T75"")"),1)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IFERROR(__xludf.DUMMYFUNCTION("IMPORTRANGE(""https://docs.google.com/spreadsheets/d/1MeEWN-I1oV_STSDYn1IFDPWt_1FKiwhDph83XaGc0o0/edit?usp=sharing"",""งบพรบ!BA75"")"),0)</f>
        <v>0</v>
      </c>
      <c r="M124" s="45">
        <f ca="1">IFERROR(__xludf.DUMMYFUNCTION("IMPORTRANGE(""https://docs.google.com/spreadsheets/d/1MeEWN-I1oV_STSDYn1IFDPWt_1FKiwhDph83XaGc0o0/edit?usp=sharing"",""งบพรบ!BF75"")"),0)</f>
        <v>0</v>
      </c>
      <c r="N124" s="45">
        <f ca="1">IFERROR(__xludf.DUMMYFUNCTION("IMPORTRANGE(""https://docs.google.com/spreadsheets/d/1MeEWN-I1oV_STSDYn1IFDPWt_1FKiwhDph83XaGc0o0/edit?usp=sharing"",""งบพรบ!BH75"")"),0)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IFERROR(__xludf.DUMMYFUNCTION("IMPORTRANGE(""https://docs.google.com/spreadsheets/d/1MeEWN-I1oV_STSDYn1IFDPWt_1FKiwhDph83XaGc0o0/edit?usp=sharing"",""งบพรบ!BD75"")"),0)</f>
        <v>0</v>
      </c>
      <c r="M127" s="45">
        <f ca="1">IFERROR(__xludf.DUMMYFUNCTION("IMPORTRANGE(""https://docs.google.com/spreadsheets/d/1MeEWN-I1oV_STSDYn1IFDPWt_1FKiwhDph83XaGc0o0/edit?usp=sharing"",""งบพรบ!BG75"")"),0)</f>
        <v>0</v>
      </c>
      <c r="N127" s="45">
        <f ca="1">IFERROR(__xludf.DUMMYFUNCTION("IMPORTRANGE(""https://docs.google.com/spreadsheets/d/1MeEWN-I1oV_STSDYn1IFDPWt_1FKiwhDph83XaGc0o0/edit?usp=sharing"",""งบพรบ!BI75"")"),0)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IFERROR(__xludf.DUMMYFUNCTION("IMPORTRANGE(""https://docs.google.com/spreadsheets/d/1MeEWN-I1oV_STSDYn1IFDPWt_1FKiwhDph83XaGc0o0/edit?usp=sharing"",""งบพรบ!BK75"")"),0)</f>
        <v>0</v>
      </c>
      <c r="M137" s="45">
        <f ca="1">IFERROR(__xludf.DUMMYFUNCTION("IMPORTRANGE(""https://docs.google.com/spreadsheets/d/1MeEWN-I1oV_STSDYn1IFDPWt_1FKiwhDph83XaGc0o0/edit?usp=sharing"",""งบพรบ!BP75"")"),0)</f>
        <v>0</v>
      </c>
      <c r="N137" s="45">
        <f ca="1">IFERROR(__xludf.DUMMYFUNCTION("IMPORTRANGE(""https://docs.google.com/spreadsheets/d/1MeEWN-I1oV_STSDYn1IFDPWt_1FKiwhDph83XaGc0o0/edit?usp=sharing"",""งบพรบ!BR75"")"),0)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IFERROR(__xludf.DUMMYFUNCTION("IMPORTRANGE(""https://docs.google.com/spreadsheets/d/1MeEWN-I1oV_STSDYn1IFDPWt_1FKiwhDph83XaGc0o0/edit?usp=sharing"",""งบพรบ!BN75"")"),0)</f>
        <v>0</v>
      </c>
      <c r="M140" s="45">
        <f ca="1">IFERROR(__xludf.DUMMYFUNCTION("IMPORTRANGE(""https://docs.google.com/spreadsheets/d/1MeEWN-I1oV_STSDYn1IFDPWt_1FKiwhDph83XaGc0o0/edit?usp=sharing"",""งบพรบ!BQ75"")"),0)</f>
        <v>0</v>
      </c>
      <c r="N140" s="45">
        <f ca="1">IFERROR(__xludf.DUMMYFUNCTION("IMPORTRANGE(""https://docs.google.com/spreadsheets/d/1MeEWN-I1oV_STSDYn1IFDPWt_1FKiwhDph83XaGc0o0/edit?usp=sharing"",""งบพรบ!BS75"")"),0)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IFERROR(__xludf.DUMMYFUNCTION("IMPORTRANGE(""https://docs.google.com/spreadsheets/d/1QqKyyYR6Q21VydFLVH3TRQUabQu_ym0Zz7PgGX0-kHA/edit?usp=sharing"",""แผน!U75"")"),0)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IFERROR(__xludf.DUMMYFUNCTION("IMPORTRANGE(""https://docs.google.com/spreadsheets/d/1QqKyyYR6Q21VydFLVH3TRQUabQu_ym0Zz7PgGX0-kHA/edit?usp=sharing"",""แผน!V75"")"),0)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IFERROR(__xludf.DUMMYFUNCTION("IMPORTRANGE(""https://docs.google.com/spreadsheets/d/1QqKyyYR6Q21VydFLVH3TRQUabQu_ym0Zz7PgGX0-kHA/edit?usp=sharing"",""แผน!W75"")"),0)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16980</v>
      </c>
      <c r="N149" s="154">
        <f t="shared" ca="1" si="77"/>
        <v>16980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16980</v>
      </c>
      <c r="N151" s="45">
        <f t="shared" ca="1" si="80"/>
        <v>16980</v>
      </c>
      <c r="O151" s="45">
        <f t="shared" ca="1" si="78"/>
        <v>0</v>
      </c>
      <c r="P151" s="45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16980</v>
      </c>
      <c r="N152" s="38">
        <f t="shared" ca="1" si="81"/>
        <v>16980</v>
      </c>
      <c r="O152" s="38">
        <f t="shared" ca="1" si="78"/>
        <v>0</v>
      </c>
      <c r="P152" s="3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IFERROR(__xludf.DUMMYFUNCTION("IMPORTRANGE(""https://docs.google.com/spreadsheets/d/1MeEWN-I1oV_STSDYn1IFDPWt_1FKiwhDph83XaGc0o0/edit?usp=sharing"",""งบพรบ!BU75"")"),0)</f>
        <v>0</v>
      </c>
      <c r="M154" s="45">
        <f ca="1">IFERROR(__xludf.DUMMYFUNCTION("IMPORTRANGE(""https://docs.google.com/spreadsheets/d/1MeEWN-I1oV_STSDYn1IFDPWt_1FKiwhDph83XaGc0o0/edit?usp=sharing"",""งบพรบ!BZ75"")"),16980)</f>
        <v>16980</v>
      </c>
      <c r="N154" s="45">
        <f ca="1">IFERROR(__xludf.DUMMYFUNCTION("IMPORTRANGE(""https://docs.google.com/spreadsheets/d/1MeEWN-I1oV_STSDYn1IFDPWt_1FKiwhDph83XaGc0o0/edit?usp=sharing"",""งบพรบ!CB75"")"),16980)</f>
        <v>16980</v>
      </c>
      <c r="O154" s="45">
        <f t="shared" ca="1" si="78"/>
        <v>0</v>
      </c>
      <c r="P154" s="45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IFERROR(__xludf.DUMMYFUNCTION("IMPORTRANGE(""https://docs.google.com/spreadsheets/d/1MeEWN-I1oV_STSDYn1IFDPWt_1FKiwhDph83XaGc0o0/edit?usp=sharing"",""งบพรบ!BX75"")"),0)</f>
        <v>0</v>
      </c>
      <c r="M157" s="45">
        <f ca="1">IFERROR(__xludf.DUMMYFUNCTION("IMPORTRANGE(""https://docs.google.com/spreadsheets/d/1MeEWN-I1oV_STSDYn1IFDPWt_1FKiwhDph83XaGc0o0/edit?usp=sharing"",""งบพรบ!CA75"")"),0)</f>
        <v>0</v>
      </c>
      <c r="N157" s="45">
        <f ca="1">IFERROR(__xludf.DUMMYFUNCTION("IMPORTRANGE(""https://docs.google.com/spreadsheets/d/1MeEWN-I1oV_STSDYn1IFDPWt_1FKiwhDph83XaGc0o0/edit?usp=sharing"",""งบพรบ!CC75"")"),0)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IFERROR(__xludf.DUMMYFUNCTION("IMPORTRANGE(""https://docs.google.com/spreadsheets/d/1QqKyyYR6Q21VydFLVH3TRQUabQu_ym0Zz7PgGX0-kHA/edit?usp=sharing"",""แผน!X75"")"),0)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 hidden="1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799">
        <f t="shared" ref="I164:J164" ca="1" si="83">I174+I177</f>
        <v>0</v>
      </c>
      <c r="J164" s="799">
        <f t="shared" si="83"/>
        <v>0</v>
      </c>
      <c r="K164" s="244">
        <f ca="1">IF(I164&gt;0,J164*100/I164,0)</f>
        <v>0</v>
      </c>
      <c r="L164" s="244"/>
      <c r="M164" s="244"/>
      <c r="N164" s="244"/>
      <c r="O164" s="244"/>
      <c r="P164" s="244"/>
    </row>
    <row r="165" spans="1:26" ht="19" hidden="1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3">
        <f t="shared" ref="L165:N165" ca="1" si="84">L166+L167</f>
        <v>0</v>
      </c>
      <c r="M165" s="153">
        <f t="shared" ca="1" si="84"/>
        <v>0</v>
      </c>
      <c r="N165" s="153">
        <f t="shared" ca="1" si="84"/>
        <v>0</v>
      </c>
      <c r="O165" s="153">
        <f t="shared" ref="O165:O173" ca="1" si="85">IF(L165&gt;0,N165*100/L165,0)</f>
        <v>0</v>
      </c>
      <c r="P165" s="153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0</v>
      </c>
      <c r="M167" s="45">
        <f t="shared" ca="1" si="87"/>
        <v>0</v>
      </c>
      <c r="N167" s="45">
        <f t="shared" ca="1" si="87"/>
        <v>0</v>
      </c>
      <c r="O167" s="45">
        <f t="shared" ca="1" si="85"/>
        <v>0</v>
      </c>
      <c r="P167" s="45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 hidden="1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0</v>
      </c>
      <c r="M168" s="38">
        <f t="shared" ca="1" si="88"/>
        <v>0</v>
      </c>
      <c r="N168" s="38">
        <f t="shared" ca="1" si="88"/>
        <v>0</v>
      </c>
      <c r="O168" s="38">
        <f t="shared" ca="1" si="85"/>
        <v>0</v>
      </c>
      <c r="P168" s="3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IFERROR(__xludf.DUMMYFUNCTION("IMPORTRANGE(""https://docs.google.com/spreadsheets/d/1MeEWN-I1oV_STSDYn1IFDPWt_1FKiwhDph83XaGc0o0/edit?usp=sharing"",""งบพรบ!CE75"")"),0)</f>
        <v>0</v>
      </c>
      <c r="M170" s="45">
        <f ca="1">IFERROR(__xludf.DUMMYFUNCTION("IMPORTRANGE(""https://docs.google.com/spreadsheets/d/1MeEWN-I1oV_STSDYn1IFDPWt_1FKiwhDph83XaGc0o0/edit?usp=sharing"",""งบพรบ!CJ75"")"),0)</f>
        <v>0</v>
      </c>
      <c r="N170" s="45">
        <f ca="1">IFERROR(__xludf.DUMMYFUNCTION("IMPORTRANGE(""https://docs.google.com/spreadsheets/d/1MeEWN-I1oV_STSDYn1IFDPWt_1FKiwhDph83XaGc0o0/edit?usp=sharing"",""งบพรบ!CL75"")"),0)</f>
        <v>0</v>
      </c>
      <c r="O170" s="45">
        <f t="shared" ca="1" si="85"/>
        <v>0</v>
      </c>
      <c r="P170" s="45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 hidden="1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IFERROR(__xludf.DUMMYFUNCTION("IMPORTRANGE(""https://docs.google.com/spreadsheets/d/1MeEWN-I1oV_STSDYn1IFDPWt_1FKiwhDph83XaGc0o0/edit?usp=sharing"",""งบพรบ!CH75"")"),0)</f>
        <v>0</v>
      </c>
      <c r="M173" s="45">
        <f ca="1">IFERROR(__xludf.DUMMYFUNCTION("IMPORTRANGE(""https://docs.google.com/spreadsheets/d/1MeEWN-I1oV_STSDYn1IFDPWt_1FKiwhDph83XaGc0o0/edit?usp=sharing"",""งบพรบ!CK75"")"),0)</f>
        <v>0</v>
      </c>
      <c r="N173" s="45">
        <f ca="1">IFERROR(__xludf.DUMMYFUNCTION("IMPORTRANGE(""https://docs.google.com/spreadsheets/d/1MeEWN-I1oV_STSDYn1IFDPWt_1FKiwhDph83XaGc0o0/edit?usp=sharing"",""งบพรบ!CM75"")"),0)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 hidden="1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0</v>
      </c>
      <c r="J174" s="250">
        <f t="shared" si="90"/>
        <v>0</v>
      </c>
      <c r="K174" s="251">
        <f ca="1">IF(I174&gt;0,J174*100/I174,0)</f>
        <v>0</v>
      </c>
      <c r="L174" s="251"/>
      <c r="M174" s="251"/>
      <c r="N174" s="251"/>
      <c r="O174" s="251"/>
      <c r="P174" s="251"/>
    </row>
    <row r="175" spans="1:26" ht="19" hidden="1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 hidden="1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IFERROR(__xludf.DUMMYFUNCTION("IMPORTRANGE(""https://docs.google.com/spreadsheets/d/1QqKyyYR6Q21VydFLVH3TRQUabQu_ym0Zz7PgGX0-kHA/edit?usp=sharing"",""แผน!Y75"")"),0)</f>
        <v>0</v>
      </c>
      <c r="J176" s="181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60500</v>
      </c>
      <c r="M181" s="154">
        <f t="shared" ca="1" si="92"/>
        <v>77660</v>
      </c>
      <c r="N181" s="154">
        <f t="shared" ca="1" si="92"/>
        <v>75670</v>
      </c>
      <c r="O181" s="154">
        <f t="shared" ref="O181:O189" ca="1" si="93">IF(L181&gt;0,N181*100/L181,0)</f>
        <v>125.07438016528926</v>
      </c>
      <c r="P181" s="154">
        <f t="shared" ref="P181:P189" ca="1" si="94">IF(M181&gt;0,N181*100/M181,0)</f>
        <v>97.437548287406642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60500</v>
      </c>
      <c r="M183" s="45">
        <f t="shared" ca="1" si="95"/>
        <v>77660</v>
      </c>
      <c r="N183" s="45">
        <f t="shared" ca="1" si="95"/>
        <v>75670</v>
      </c>
      <c r="O183" s="45">
        <f t="shared" ca="1" si="93"/>
        <v>125.07438016528926</v>
      </c>
      <c r="P183" s="45">
        <f t="shared" ca="1" si="94"/>
        <v>97.437548287406642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60500</v>
      </c>
      <c r="M184" s="38">
        <f t="shared" ca="1" si="96"/>
        <v>77660</v>
      </c>
      <c r="N184" s="38">
        <f t="shared" ca="1" si="96"/>
        <v>75670</v>
      </c>
      <c r="O184" s="38">
        <f t="shared" ca="1" si="93"/>
        <v>125.07438016528926</v>
      </c>
      <c r="P184" s="38">
        <f t="shared" ca="1" si="94"/>
        <v>97.437548287406642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IFERROR(__xludf.DUMMYFUNCTION("IMPORTRANGE(""https://docs.google.com/spreadsheets/d/1MeEWN-I1oV_STSDYn1IFDPWt_1FKiwhDph83XaGc0o0/edit?usp=sharing"",""งบพรบ!CO75"")"),60500)</f>
        <v>60500</v>
      </c>
      <c r="M186" s="45">
        <f ca="1">IFERROR(__xludf.DUMMYFUNCTION("IMPORTRANGE(""https://docs.google.com/spreadsheets/d/1MeEWN-I1oV_STSDYn1IFDPWt_1FKiwhDph83XaGc0o0/edit?usp=sharing"",""งบพรบ!CT75"")"),77660)</f>
        <v>77660</v>
      </c>
      <c r="N186" s="45">
        <f ca="1">IFERROR(__xludf.DUMMYFUNCTION("IMPORTRANGE(""https://docs.google.com/spreadsheets/d/1MeEWN-I1oV_STSDYn1IFDPWt_1FKiwhDph83XaGc0o0/edit?usp=sharing"",""งบพรบ!CV75"")"),75670)</f>
        <v>75670</v>
      </c>
      <c r="O186" s="45">
        <f t="shared" ca="1" si="93"/>
        <v>125.07438016528926</v>
      </c>
      <c r="P186" s="45">
        <f t="shared" ca="1" si="94"/>
        <v>97.437548287406642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IFERROR(__xludf.DUMMYFUNCTION("IMPORTRANGE(""https://docs.google.com/spreadsheets/d/1MeEWN-I1oV_STSDYn1IFDPWt_1FKiwhDph83XaGc0o0/edit?usp=sharing"",""งบพรบ!CR75"")"),0)</f>
        <v>0</v>
      </c>
      <c r="M189" s="45">
        <f ca="1">IFERROR(__xludf.DUMMYFUNCTION("IMPORTRANGE(""https://docs.google.com/spreadsheets/d/1MeEWN-I1oV_STSDYn1IFDPWt_1FKiwhDph83XaGc0o0/edit?usp=sharing"",""งบพรบ!CU75"")"),0)</f>
        <v>0</v>
      </c>
      <c r="N189" s="45">
        <f ca="1">IFERROR(__xludf.DUMMYFUNCTION("IMPORTRANGE(""https://docs.google.com/spreadsheets/d/1MeEWN-I1oV_STSDYn1IFDPWt_1FKiwhDph83XaGc0o0/edit?usp=sharing"",""งบพรบ!CW75"")"),0)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IFERROR(__xludf.DUMMYFUNCTION("IMPORTRANGE(""https://docs.google.com/spreadsheets/d/1QqKyyYR6Q21VydFLVH3TRQUabQu_ym0Zz7PgGX0-kHA/edit?usp=sharing"",""แผน!Z75"")"),6000)</f>
        <v>6000</v>
      </c>
      <c r="M191" s="154"/>
      <c r="N191" s="264">
        <v>3550</v>
      </c>
      <c r="O191" s="154">
        <f ca="1">IF(L191&gt;0,N191*100/L191,0)</f>
        <v>59.166666666666664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IFERROR(__xludf.DUMMYFUNCTION("IMPORTRANGE(""https://docs.google.com/spreadsheets/d/1QqKyyYR6Q21VydFLVH3TRQUabQu_ym0Zz7PgGX0-kHA/edit?usp=sharing"",""แผน!AC75"")"),4)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IFERROR(__xludf.DUMMYFUNCTION("IMPORTRANGE(""https://docs.google.com/spreadsheets/d/1QqKyyYR6Q21VydFLVH3TRQUabQu_ym0Zz7PgGX0-kHA/edit?usp=sharing"",""แผน!AE75"")"),2000)</f>
        <v>2000</v>
      </c>
      <c r="M199" s="38"/>
      <c r="N199" s="270">
        <v>1893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IFERROR(__xludf.DUMMYFUNCTION("IMPORTRANGE(""https://docs.google.com/spreadsheets/d/1QqKyyYR6Q21VydFLVH3TRQUabQu_ym0Zz7PgGX0-kHA/edit?usp=sharing"",""แผน!AF75"")"),16000)</f>
        <v>16000</v>
      </c>
      <c r="M200" s="38"/>
      <c r="N200" s="270">
        <v>16017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IFERROR(__xludf.DUMMYFUNCTION("IMPORTRANGE(""https://docs.google.com/spreadsheets/d/1QqKyyYR6Q21VydFLVH3TRQUabQu_ym0Zz7PgGX0-kHA/edit?usp=sharing"",""แผน!AG75"")"),8000)</f>
        <v>8000</v>
      </c>
      <c r="M201" s="38"/>
      <c r="N201" s="270">
        <v>8090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IFERROR(__xludf.DUMMYFUNCTION("IMPORTRANGE(""https://docs.google.com/spreadsheets/d/1QqKyyYR6Q21VydFLVH3TRQUabQu_ym0Zz7PgGX0-kHA/edit?usp=sharing"",""แผน!AH75"")"),0)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IFERROR(__xludf.DUMMYFUNCTION("IMPORTRANGE(""https://docs.google.com/spreadsheets/d/1QqKyyYR6Q21VydFLVH3TRQUabQu_ym0Zz7PgGX0-kHA/edit?usp=sharing"",""แผน!AI75"")"),2)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IFERROR(__xludf.DUMMYFUNCTION("IMPORTRANGE(""https://docs.google.com/spreadsheets/d/1QqKyyYR6Q21VydFLVH3TRQUabQu_ym0Zz7PgGX0-kHA/edit?usp=sharing"",""แผน!AK75"")"),0)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IFERROR(__xludf.DUMMYFUNCTION("IMPORTRANGE(""https://docs.google.com/spreadsheets/d/1QqKyyYR6Q21VydFLVH3TRQUabQu_ym0Zz7PgGX0-kHA/edit?usp=sharing"",""แผน!AL75"")"),0)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IFERROR(__xludf.DUMMYFUNCTION("IMPORTRANGE(""https://docs.google.com/spreadsheets/d/1QqKyyYR6Q21VydFLVH3TRQUabQu_ym0Zz7PgGX0-kHA/edit?usp=sharing"",""แผน!AM75"")"),0)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IFERROR(__xludf.DUMMYFUNCTION("IMPORTRANGE(""https://docs.google.com/spreadsheets/d/1QqKyyYR6Q21VydFLVH3TRQUabQu_ym0Zz7PgGX0-kHA/edit?usp=sharing"",""แผน!AN75"")"),0)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IFERROR(__xludf.DUMMYFUNCTION("IMPORTRANGE(""https://docs.google.com/spreadsheets/d/1QqKyyYR6Q21VydFLVH3TRQUabQu_ym0Zz7PgGX0-kHA/edit?usp=sharing"",""แผน!AN75"")"),0)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50000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28500</v>
      </c>
      <c r="M217" s="154"/>
      <c r="N217" s="154">
        <f>N218+N219+N220</f>
        <v>10000</v>
      </c>
      <c r="O217" s="154">
        <f ca="1">IF(L217&gt;0,N217*100/L217,0)</f>
        <v>35.087719298245617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IFERROR(__xludf.DUMMYFUNCTION("IMPORTRANGE(""https://docs.google.com/spreadsheets/d/1QqKyyYR6Q21VydFLVH3TRQUabQu_ym0Zz7PgGX0-kHA/edit?usp=sharing"",""แผน!AP75"")"),5000)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IFERROR(__xludf.DUMMYFUNCTION("IMPORTRANGE(""https://docs.google.com/spreadsheets/d/1QqKyyYR6Q21VydFLVH3TRQUabQu_ym0Zz7PgGX0-kHA/edit?usp=sharing"",""แผน!AQ75"")"),13500)</f>
        <v>13500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IFERROR(__xludf.DUMMYFUNCTION("IMPORTRANGE(""https://docs.google.com/spreadsheets/d/1QqKyyYR6Q21VydFLVH3TRQUabQu_ym0Zz7PgGX0-kHA/edit?usp=sharing"",""แผน!AR75"")"),10000)</f>
        <v>10000</v>
      </c>
      <c r="M220" s="38"/>
      <c r="N220" s="270">
        <v>10000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IFERROR(__xludf.DUMMYFUNCTION("IMPORTRANGE(""https://docs.google.com/spreadsheets/d/1QqKyyYR6Q21VydFLVH3TRQUabQu_ym0Zz7PgGX0-kHA/edit?usp=sharing"",""แผน!AT75"")"),50000)</f>
        <v>50000</v>
      </c>
      <c r="J223" s="181">
        <v>50000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IFERROR(__xludf.DUMMYFUNCTION("IMPORTRANGE(""https://docs.google.com/spreadsheets/d/1QqKyyYR6Q21VydFLVH3TRQUabQu_ym0Zz7PgGX0-kHA/edit?usp=sharing"",""แผน!AT75"")"),50000)</f>
        <v>50000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IFERROR(__xludf.DUMMYFUNCTION("IMPORTRANGE(""https://docs.google.com/spreadsheets/d/1QqKyyYR6Q21VydFLVH3TRQUabQu_ym0Zz7PgGX0-kHA/edit?usp=sharing"",""แผน!AS75"")"),10)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IFERROR(__xludf.DUMMYFUNCTION("IMPORTRANGE(""https://docs.google.com/spreadsheets/d/1QqKyyYR6Q21VydFLVH3TRQUabQu_ym0Zz7PgGX0-kHA/edit?usp=sharing"",""แผน!AV75"")"),0)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IFERROR(__xludf.DUMMYFUNCTION("IMPORTRANGE(""https://docs.google.com/spreadsheets/d/1QqKyyYR6Q21VydFLVH3TRQUabQu_ym0Zz7PgGX0-kHA/edit?usp=sharing"",""แผน!AW75"")"),0)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IFERROR(__xludf.DUMMYFUNCTION("IMPORTRANGE(""https://docs.google.com/spreadsheets/d/1QqKyyYR6Q21VydFLVH3TRQUabQu_ym0Zz7PgGX0-kHA/edit?usp=sharing"",""แผน!AX75"")"),0)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IFERROR(__xludf.DUMMYFUNCTION("IMPORTRANGE(""https://docs.google.com/spreadsheets/d/1QqKyyYR6Q21VydFLVH3TRQUabQu_ym0Zz7PgGX0-kHA/edit?usp=sharing"",""แผน!AY75"")"),0)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IFERROR(__xludf.DUMMYFUNCTION("IMPORTRANGE(""https://docs.google.com/spreadsheets/d/1QqKyyYR6Q21VydFLVH3TRQUabQu_ym0Zz7PgGX0-kHA/edit?usp=sharing"",""แผน!BE75"")"),0)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IFERROR(__xludf.DUMMYFUNCTION("IMPORTRANGE(""https://docs.google.com/spreadsheets/d/1QqKyyYR6Q21VydFLVH3TRQUabQu_ym0Zz7PgGX0-kHA/edit?usp=sharing"",""แผน!AZ75"")"),0)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IFERROR(__xludf.DUMMYFUNCTION("IMPORTRANGE(""https://docs.google.com/spreadsheets/d/1QqKyyYR6Q21VydFLVH3TRQUabQu_ym0Zz7PgGX0-kHA/edit?usp=sharing"",""แผน!BA75"")"),0)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IFERROR(__xludf.DUMMYFUNCTION("IMPORTRANGE(""https://docs.google.com/spreadsheets/d/1QqKyyYR6Q21VydFLVH3TRQUabQu_ym0Zz7PgGX0-kHA/edit?usp=sharing"",""แผน!BB75"")"),0)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IFERROR(__xludf.DUMMYFUNCTION("IMPORTRANGE(""https://docs.google.com/spreadsheets/d/1QqKyyYR6Q21VydFLVH3TRQUabQu_ym0Zz7PgGX0-kHA/edit?usp=sharing"",""แผน!BC75"")"),0)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IFERROR(__xludf.DUMMYFUNCTION("IMPORTRANGE(""https://docs.google.com/spreadsheets/d/1QqKyyYR6Q21VydFLVH3TRQUabQu_ym0Zz7PgGX0-kHA/edit?usp=sharing"",""แผน!BF75"")"),0)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0</v>
      </c>
      <c r="K260" s="243">
        <f ca="1">IF(I260&gt;0,J260*100/I260,0)</f>
        <v>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22085</v>
      </c>
      <c r="O261" s="154">
        <f t="shared" ref="O261:O269" ca="1" si="117">IF(L261&gt;0,N261*100/L261,0)</f>
        <v>82.100371747211895</v>
      </c>
      <c r="P261" s="154">
        <f t="shared" ref="P261:P269" ca="1" si="118">IF(M261&gt;0,N261*100/M261,0)</f>
        <v>82.100371747211895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22085</v>
      </c>
      <c r="O263" s="45">
        <f t="shared" ca="1" si="117"/>
        <v>82.100371747211895</v>
      </c>
      <c r="P263" s="45">
        <f t="shared" ca="1" si="118"/>
        <v>82.100371747211895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22085</v>
      </c>
      <c r="O264" s="38">
        <f t="shared" ca="1" si="117"/>
        <v>82.100371747211895</v>
      </c>
      <c r="P264" s="38">
        <f t="shared" ca="1" si="118"/>
        <v>82.100371747211895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IFERROR(__xludf.DUMMYFUNCTION("IMPORTRANGE(""https://docs.google.com/spreadsheets/d/1MeEWN-I1oV_STSDYn1IFDPWt_1FKiwhDph83XaGc0o0/edit?usp=sharing"",""งบพรบ!CY75"")"),26900)</f>
        <v>26900</v>
      </c>
      <c r="M266" s="45">
        <f ca="1">IFERROR(__xludf.DUMMYFUNCTION("IMPORTRANGE(""https://docs.google.com/spreadsheets/d/1MeEWN-I1oV_STSDYn1IFDPWt_1FKiwhDph83XaGc0o0/edit?usp=sharing"",""งบพรบ!DD75"")"),26900)</f>
        <v>26900</v>
      </c>
      <c r="N266" s="45">
        <f ca="1">IFERROR(__xludf.DUMMYFUNCTION("IMPORTRANGE(""https://docs.google.com/spreadsheets/d/1MeEWN-I1oV_STSDYn1IFDPWt_1FKiwhDph83XaGc0o0/edit?usp=sharing"",""งบพรบ!DF75"")"),22085)</f>
        <v>22085</v>
      </c>
      <c r="O266" s="45">
        <f t="shared" ca="1" si="117"/>
        <v>82.100371747211895</v>
      </c>
      <c r="P266" s="45">
        <f t="shared" ca="1" si="118"/>
        <v>82.100371747211895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IFERROR(__xludf.DUMMYFUNCTION("IMPORTRANGE(""https://docs.google.com/spreadsheets/d/1MeEWN-I1oV_STSDYn1IFDPWt_1FKiwhDph83XaGc0o0/edit?usp=sharing"",""งบพรบ!DB75"")"),0)</f>
        <v>0</v>
      </c>
      <c r="M269" s="45">
        <f ca="1">IFERROR(__xludf.DUMMYFUNCTION("IMPORTRANGE(""https://docs.google.com/spreadsheets/d/1MeEWN-I1oV_STSDYn1IFDPWt_1FKiwhDph83XaGc0o0/edit?usp=sharing"",""งบพรบ!DE75"")"),0)</f>
        <v>0</v>
      </c>
      <c r="N269" s="45">
        <f ca="1">IFERROR(__xludf.DUMMYFUNCTION("IMPORTRANGE(""https://docs.google.com/spreadsheets/d/1MeEWN-I1oV_STSDYn1IFDPWt_1FKiwhDph83XaGc0o0/edit?usp=sharing"",""งบพรบ!DG75"")"),0)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IFERROR(__xludf.DUMMYFUNCTION("IMPORTRANGE(""https://docs.google.com/spreadsheets/d/1QqKyyYR6Q21VydFLVH3TRQUabQu_ym0Zz7PgGX0-kHA/edit?usp=sharing"",""แผน!EA75"")"),22)</f>
        <v>22</v>
      </c>
      <c r="J271" s="181">
        <v>0</v>
      </c>
      <c r="K271" s="162">
        <f ca="1">IF(I271&gt;0,J271*100/I271,0)</f>
        <v>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5</v>
      </c>
      <c r="J275" s="387">
        <f t="shared" ca="1" si="122"/>
        <v>5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87">
        <f t="shared" ref="I276:J276" ca="1" si="124">I287</f>
        <v>50</v>
      </c>
      <c r="J276" s="387">
        <f t="shared" si="124"/>
        <v>50</v>
      </c>
      <c r="K276" s="388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22630</v>
      </c>
      <c r="M277" s="154">
        <f t="shared" ca="1" si="125"/>
        <v>22630</v>
      </c>
      <c r="N277" s="154">
        <f t="shared" ca="1" si="125"/>
        <v>22630</v>
      </c>
      <c r="O277" s="154">
        <f t="shared" ref="O277:O285" ca="1" si="126">IF(L277&gt;0,N277*100/L277,0)</f>
        <v>100</v>
      </c>
      <c r="P277" s="154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22630</v>
      </c>
      <c r="M279" s="45">
        <f t="shared" ca="1" si="128"/>
        <v>22630</v>
      </c>
      <c r="N279" s="45">
        <f t="shared" ca="1" si="128"/>
        <v>22630</v>
      </c>
      <c r="O279" s="45">
        <f t="shared" ca="1" si="126"/>
        <v>100</v>
      </c>
      <c r="P279" s="45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22630</v>
      </c>
      <c r="M280" s="38">
        <f t="shared" ca="1" si="129"/>
        <v>22630</v>
      </c>
      <c r="N280" s="38">
        <f t="shared" ca="1" si="129"/>
        <v>22630</v>
      </c>
      <c r="O280" s="38">
        <f t="shared" ca="1" si="126"/>
        <v>100</v>
      </c>
      <c r="P280" s="3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IFERROR(__xludf.DUMMYFUNCTION("IMPORTRANGE(""https://docs.google.com/spreadsheets/d/1MeEWN-I1oV_STSDYn1IFDPWt_1FKiwhDph83XaGc0o0/edit?usp=sharing"",""งบพรบ!DI75"")"),22630)</f>
        <v>22630</v>
      </c>
      <c r="M282" s="45">
        <f ca="1">IFERROR(__xludf.DUMMYFUNCTION("IMPORTRANGE(""https://docs.google.com/spreadsheets/d/1MeEWN-I1oV_STSDYn1IFDPWt_1FKiwhDph83XaGc0o0/edit?usp=sharing"",""งบพรบ!DN75"")"),22630)</f>
        <v>22630</v>
      </c>
      <c r="N282" s="45">
        <f ca="1">IFERROR(__xludf.DUMMYFUNCTION("IMPORTRANGE(""https://docs.google.com/spreadsheets/d/1MeEWN-I1oV_STSDYn1IFDPWt_1FKiwhDph83XaGc0o0/edit?usp=sharing"",""งบพรบ!DP75"")"),22630)</f>
        <v>22630</v>
      </c>
      <c r="O282" s="45">
        <f t="shared" ca="1" si="126"/>
        <v>100</v>
      </c>
      <c r="P282" s="45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IFERROR(__xludf.DUMMYFUNCTION("IMPORTRANGE(""https://docs.google.com/spreadsheets/d/1MeEWN-I1oV_STSDYn1IFDPWt_1FKiwhDph83XaGc0o0/edit?usp=sharing"",""งบพรบ!DL75"")"),0)</f>
        <v>0</v>
      </c>
      <c r="M285" s="45">
        <f ca="1">IFERROR(__xludf.DUMMYFUNCTION("IMPORTRANGE(""https://docs.google.com/spreadsheets/d/1MeEWN-I1oV_STSDYn1IFDPWt_1FKiwhDph83XaGc0o0/edit?usp=sharing"",""งบพรบ!DO75"")"),0)</f>
        <v>0</v>
      </c>
      <c r="N285" s="45">
        <f ca="1">IFERROR(__xludf.DUMMYFUNCTION("IMPORTRANGE(""https://docs.google.com/spreadsheets/d/1MeEWN-I1oV_STSDYn1IFDPWt_1FKiwhDph83XaGc0o0/edit?usp=sharing"",""งบพรบ!DQ75"")"),0)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IFERROR(__xludf.DUMMYFUNCTION("IMPORTRANGE(""https://docs.google.com/spreadsheets/d/1QqKyyYR6Q21VydFLVH3TRQUabQu_ym0Zz7PgGX0-kHA/edit?usp=sharing"",""แผน!EC75"")"),50)</f>
        <v>50</v>
      </c>
      <c r="J287" s="181">
        <v>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IFERROR(__xludf.DUMMYFUNCTION("IMPORTRANGE(""https://docs.google.com/spreadsheets/d/1QqKyyYR6Q21VydFLVH3TRQUabQu_ym0Zz7PgGX0-kHA/edit?usp=sharing"",""แผน!EB75"")"),5)</f>
        <v>5</v>
      </c>
      <c r="J288" s="190">
        <f ca="1">IF(AND(J291&gt;=I288,J294&gt;=I288),J294,0)</f>
        <v>5</v>
      </c>
      <c r="K288" s="391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IFERROR(__xludf.DUMMYFUNCTION("IMPORTRANGE(""https://docs.google.com/spreadsheets/d/1QqKyyYR6Q21VydFLVH3TRQUabQu_ym0Zz7PgGX0-kHA/edit?usp=sharing"",""แผน!EB75"")"),5)</f>
        <v>5</v>
      </c>
      <c r="J290" s="181">
        <v>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IFERROR(__xludf.DUMMYFUNCTION("IMPORTRANGE(""https://docs.google.com/spreadsheets/d/1QqKyyYR6Q21VydFLVH3TRQUabQu_ym0Zz7PgGX0-kHA/edit?usp=sharing"",""แผน!EB75"")"),5)</f>
        <v>5</v>
      </c>
      <c r="J291" s="181">
        <v>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IFERROR(__xludf.DUMMYFUNCTION("IMPORTRANGE(""https://docs.google.com/spreadsheets/d/1QqKyyYR6Q21VydFLVH3TRQUabQu_ym0Zz7PgGX0-kHA/edit?usp=sharing"",""แผน!EB75"")"),5)</f>
        <v>5</v>
      </c>
      <c r="J293" s="181">
        <v>5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9" t="s">
        <v>136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IFERROR(__xludf.DUMMYFUNCTION("IMPORTRANGE(""https://docs.google.com/spreadsheets/d/1QqKyyYR6Q21VydFLVH3TRQUabQu_ym0Zz7PgGX0-kHA/edit?usp=sharing"",""แผน!EB75"")"),5)</f>
        <v>5</v>
      </c>
      <c r="J294" s="57">
        <v>5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IFERROR(__xludf.DUMMYFUNCTION("IMPORTRANGE(""https://docs.google.com/spreadsheets/d/1MeEWN-I1oV_STSDYn1IFDPWt_1FKiwhDph83XaGc0o0/edit?usp=sharing"",""งบพรบ!DS75"")"),0)</f>
        <v>0</v>
      </c>
      <c r="M303" s="45">
        <f ca="1">IFERROR(__xludf.DUMMYFUNCTION("IMPORTRANGE(""https://docs.google.com/spreadsheets/d/1MeEWN-I1oV_STSDYn1IFDPWt_1FKiwhDph83XaGc0o0/edit?usp=sharing"",""งบพรบ!DX75"")"),0)</f>
        <v>0</v>
      </c>
      <c r="N303" s="45">
        <f ca="1">IFERROR(__xludf.DUMMYFUNCTION("IMPORTRANGE(""https://docs.google.com/spreadsheets/d/1MeEWN-I1oV_STSDYn1IFDPWt_1FKiwhDph83XaGc0o0/edit?usp=sharing"",""งบพรบ!DZ75"")"),0)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IFERROR(__xludf.DUMMYFUNCTION("IMPORTRANGE(""https://docs.google.com/spreadsheets/d/1MeEWN-I1oV_STSDYn1IFDPWt_1FKiwhDph83XaGc0o0/edit?usp=sharing"",""งบพรบ!DV75"")"),0)</f>
        <v>0</v>
      </c>
      <c r="M306" s="45">
        <f ca="1">IFERROR(__xludf.DUMMYFUNCTION("IMPORTRANGE(""https://docs.google.com/spreadsheets/d/1MeEWN-I1oV_STSDYn1IFDPWt_1FKiwhDph83XaGc0o0/edit?usp=sharing"",""งบพรบ!DY75"")"),0)</f>
        <v>0</v>
      </c>
      <c r="N306" s="45">
        <f ca="1">IFERROR(__xludf.DUMMYFUNCTION("IMPORTRANGE(""https://docs.google.com/spreadsheets/d/1MeEWN-I1oV_STSDYn1IFDPWt_1FKiwhDph83XaGc0o0/edit?usp=sharing"",""งบพรบ!EA75"")"),0)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IFERROR(__xludf.DUMMYFUNCTION("IMPORTRANGE(""https://docs.google.com/spreadsheets/d/1QqKyyYR6Q21VydFLVH3TRQUabQu_ym0Zz7PgGX0-kHA/edit?usp=sharing"",""แผน!ED75"")"),0)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IFERROR(__xludf.DUMMYFUNCTION("IMPORTRANGE(""https://docs.google.com/spreadsheets/d/1QqKyyYR6Q21VydFLVH3TRQUabQu_ym0Zz7PgGX0-kHA/edit?usp=sharing"",""แผน!ED75"")"),0)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IFERROR(__xludf.DUMMYFUNCTION("IMPORTRANGE(""https://docs.google.com/spreadsheets/d/1QqKyyYR6Q21VydFLVH3TRQUabQu_ym0Zz7PgGX0-kHA/edit?usp=sharing"",""แผน!ED75"")"),0)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IFERROR(__xludf.DUMMYFUNCTION("IMPORTRANGE(""https://docs.google.com/spreadsheets/d/1QqKyyYR6Q21VydFLVH3TRQUabQu_ym0Zz7PgGX0-kHA/edit?usp=sharing"",""แผน!EE75"")"),0)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2</v>
      </c>
      <c r="J314" s="421">
        <f t="shared" si="142"/>
        <v>2</v>
      </c>
      <c r="K314" s="422">
        <f ca="1">IF(I314&gt;0,J314*100/I314,0)</f>
        <v>100</v>
      </c>
      <c r="L314" s="423"/>
      <c r="M314" s="423"/>
      <c r="N314" s="423"/>
      <c r="O314" s="423"/>
      <c r="P314" s="423"/>
    </row>
    <row r="315" spans="1:26" ht="19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3753000</v>
      </c>
      <c r="M315" s="154">
        <f t="shared" ca="1" si="143"/>
        <v>3784721.19</v>
      </c>
      <c r="N315" s="154">
        <f t="shared" ca="1" si="143"/>
        <v>3731348.71</v>
      </c>
      <c r="O315" s="154">
        <f t="shared" ref="O315:O323" ca="1" si="144">IF(L315&gt;0,N315*100/L315,0)</f>
        <v>99.423093791633363</v>
      </c>
      <c r="P315" s="154">
        <f t="shared" ref="P315:P323" ca="1" si="145">IF(M315&gt;0,N315*100/M315,0)</f>
        <v>98.589790969516571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3753000</v>
      </c>
      <c r="M317" s="45">
        <f t="shared" ca="1" si="146"/>
        <v>3784721.19</v>
      </c>
      <c r="N317" s="45">
        <f t="shared" ca="1" si="146"/>
        <v>3731348.71</v>
      </c>
      <c r="O317" s="45">
        <f t="shared" ca="1" si="144"/>
        <v>99.423093791633363</v>
      </c>
      <c r="P317" s="45">
        <f t="shared" ca="1" si="145"/>
        <v>98.589790969516571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153000</v>
      </c>
      <c r="M318" s="38">
        <f t="shared" ca="1" si="147"/>
        <v>250900</v>
      </c>
      <c r="N318" s="38">
        <f t="shared" ca="1" si="147"/>
        <v>197527.52</v>
      </c>
      <c r="O318" s="38">
        <f t="shared" ca="1" si="144"/>
        <v>129.10295424836602</v>
      </c>
      <c r="P318" s="38">
        <f t="shared" ca="1" si="145"/>
        <v>78.727588680749307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IFERROR(__xludf.DUMMYFUNCTION("IMPORTRANGE(""https://docs.google.com/spreadsheets/d/1MeEWN-I1oV_STSDYn1IFDPWt_1FKiwhDph83XaGc0o0/edit?usp=sharing"",""งบพรบ!EC75"")"),153000)</f>
        <v>153000</v>
      </c>
      <c r="M320" s="45">
        <f ca="1">IFERROR(__xludf.DUMMYFUNCTION("IMPORTRANGE(""https://docs.google.com/spreadsheets/d/1MeEWN-I1oV_STSDYn1IFDPWt_1FKiwhDph83XaGc0o0/edit?usp=sharing"",""งบพรบ!EH75"")"),250900)</f>
        <v>250900</v>
      </c>
      <c r="N320" s="45">
        <f ca="1">IFERROR(__xludf.DUMMYFUNCTION("IMPORTRANGE(""https://docs.google.com/spreadsheets/d/1MeEWN-I1oV_STSDYn1IFDPWt_1FKiwhDph83XaGc0o0/edit?usp=sharing"",""งบพรบ!EJ75"")"),197527.52)</f>
        <v>197527.52</v>
      </c>
      <c r="O320" s="45">
        <f t="shared" ca="1" si="144"/>
        <v>129.10295424836602</v>
      </c>
      <c r="P320" s="45">
        <f t="shared" ca="1" si="145"/>
        <v>78.727588680749307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3600000</v>
      </c>
      <c r="M321" s="38">
        <f t="shared" ca="1" si="148"/>
        <v>3533821.19</v>
      </c>
      <c r="N321" s="38">
        <f t="shared" ca="1" si="148"/>
        <v>3533821.19</v>
      </c>
      <c r="O321" s="38">
        <f t="shared" ca="1" si="144"/>
        <v>98.161699722222224</v>
      </c>
      <c r="P321" s="38">
        <f t="shared" ca="1" si="145"/>
        <v>100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IFERROR(__xludf.DUMMYFUNCTION("IMPORTRANGE(""https://docs.google.com/spreadsheets/d/1MeEWN-I1oV_STSDYn1IFDPWt_1FKiwhDph83XaGc0o0/edit?usp=sharing"",""งบพรบ!EF75"")"),3600000)</f>
        <v>3600000</v>
      </c>
      <c r="M323" s="45">
        <f ca="1">IFERROR(__xludf.DUMMYFUNCTION("IMPORTRANGE(""https://docs.google.com/spreadsheets/d/1MeEWN-I1oV_STSDYn1IFDPWt_1FKiwhDph83XaGc0o0/edit?usp=sharing"",""งบพรบ!EI75"")"),3533821.19)</f>
        <v>3533821.19</v>
      </c>
      <c r="N323" s="45">
        <f ca="1">IFERROR(__xludf.DUMMYFUNCTION("IMPORTRANGE(""https://docs.google.com/spreadsheets/d/1MeEWN-I1oV_STSDYn1IFDPWt_1FKiwhDph83XaGc0o0/edit?usp=sharing"",""งบพรบ!EK75"")"),3533821.19)</f>
        <v>3533821.19</v>
      </c>
      <c r="O323" s="45">
        <f t="shared" ca="1" si="144"/>
        <v>98.161699722222224</v>
      </c>
      <c r="P323" s="45">
        <f t="shared" ca="1" si="145"/>
        <v>100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IFERROR(__xludf.DUMMYFUNCTION("IMPORTRANGE(""https://docs.google.com/spreadsheets/d/1QqKyyYR6Q21VydFLVH3TRQUabQu_ym0Zz7PgGX0-kHA/edit?usp=sharing"",""แผน!EF75"")"),2)</f>
        <v>2</v>
      </c>
      <c r="J325" s="181">
        <v>2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IFERROR(__xludf.DUMMYFUNCTION("IMPORTRANGE(""https://docs.google.com/spreadsheets/d/1QqKyyYR6Q21VydFLVH3TRQUabQu_ym0Zz7PgGX0-kHA/edit?usp=sharing"",""แผน!EG75"")"),2000)</f>
        <v>2000</v>
      </c>
      <c r="J327" s="421">
        <f ca="1">J338+J341+J342+J343</f>
        <v>2777</v>
      </c>
      <c r="K327" s="422">
        <f ca="1">IF(I327&gt;0,J327*100/I327,0)</f>
        <v>138.85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168000</v>
      </c>
      <c r="M328" s="154">
        <f t="shared" ca="1" si="149"/>
        <v>170500</v>
      </c>
      <c r="N328" s="154">
        <f t="shared" ca="1" si="149"/>
        <v>124622.28</v>
      </c>
      <c r="O328" s="154">
        <f t="shared" ref="O328:O336" ca="1" si="150">IF(L328&gt;0,N328*100/L328,0)</f>
        <v>74.179928571428576</v>
      </c>
      <c r="P328" s="154">
        <f t="shared" ref="P328:P336" ca="1" si="151">IF(M328&gt;0,N328*100/M328,0)</f>
        <v>73.092246334310857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168000</v>
      </c>
      <c r="M330" s="45">
        <f t="shared" ca="1" si="152"/>
        <v>170500</v>
      </c>
      <c r="N330" s="45">
        <f t="shared" ca="1" si="152"/>
        <v>124622.28</v>
      </c>
      <c r="O330" s="45">
        <f t="shared" ca="1" si="150"/>
        <v>74.179928571428576</v>
      </c>
      <c r="P330" s="45">
        <f t="shared" ca="1" si="151"/>
        <v>73.092246334310857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168000</v>
      </c>
      <c r="M331" s="38">
        <f t="shared" ca="1" si="153"/>
        <v>170500</v>
      </c>
      <c r="N331" s="38">
        <f t="shared" ca="1" si="153"/>
        <v>124622.28</v>
      </c>
      <c r="O331" s="38">
        <f t="shared" ca="1" si="150"/>
        <v>74.179928571428576</v>
      </c>
      <c r="P331" s="38">
        <f t="shared" ca="1" si="151"/>
        <v>73.092246334310857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IFERROR(__xludf.DUMMYFUNCTION("IMPORTRANGE(""https://docs.google.com/spreadsheets/d/1MeEWN-I1oV_STSDYn1IFDPWt_1FKiwhDph83XaGc0o0/edit?usp=sharing"",""งบพรบ!EM75"")"),168000)</f>
        <v>168000</v>
      </c>
      <c r="M333" s="45">
        <f ca="1">IFERROR(__xludf.DUMMYFUNCTION("IMPORTRANGE(""https://docs.google.com/spreadsheets/d/1MeEWN-I1oV_STSDYn1IFDPWt_1FKiwhDph83XaGc0o0/edit?usp=sharing"",""งบพรบ!ER75"")"),170500)</f>
        <v>170500</v>
      </c>
      <c r="N333" s="45">
        <f ca="1">IFERROR(__xludf.DUMMYFUNCTION("IMPORTRANGE(""https://docs.google.com/spreadsheets/d/1MeEWN-I1oV_STSDYn1IFDPWt_1FKiwhDph83XaGc0o0/edit?usp=sharing"",""งบพรบ!ET75"")"),124622.28)</f>
        <v>124622.28</v>
      </c>
      <c r="O333" s="45">
        <f t="shared" ca="1" si="150"/>
        <v>74.179928571428576</v>
      </c>
      <c r="P333" s="45">
        <f t="shared" ca="1" si="151"/>
        <v>73.092246334310857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IFERROR(__xludf.DUMMYFUNCTION("IMPORTRANGE(""https://docs.google.com/spreadsheets/d/1MeEWN-I1oV_STSDYn1IFDPWt_1FKiwhDph83XaGc0o0/edit?usp=sharing"",""งบพรบ!EP75"")"),0)</f>
        <v>0</v>
      </c>
      <c r="M336" s="45">
        <f ca="1">IFERROR(__xludf.DUMMYFUNCTION("IMPORTRANGE(""https://docs.google.com/spreadsheets/d/1MeEWN-I1oV_STSDYn1IFDPWt_1FKiwhDph83XaGc0o0/edit?usp=sharing"",""งบพรบ!ES75"")"),0)</f>
        <v>0</v>
      </c>
      <c r="N336" s="45">
        <f ca="1">IFERROR(__xludf.DUMMYFUNCTION("IMPORTRANGE(""https://docs.google.com/spreadsheets/d/1MeEWN-I1oV_STSDYn1IFDPWt_1FKiwhDph83XaGc0o0/edit?usp=sharing"",""งบพรบ!EU75"")"),0)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IFERROR(__xludf.DUMMYFUNCTION("IMPORTRANGE(""https://docs.google.com/spreadsheets/d/1QqKyyYR6Q21VydFLVH3TRQUabQu_ym0Zz7PgGX0-kHA/edit?usp=sharing"",""แผน!EG75"")"),2000)</f>
        <v>2000</v>
      </c>
      <c r="J338" s="37">
        <f ca="1">IFERROR(__xludf.DUMMYFUNCTION("IMPORTRANGE(""https://docs.google.com/spreadsheets/d/1kVcqe37tkHyjCSG3S0O1AXqVkqjo8mSIZil3BcpIysc/edit?usp=sharing"",""ศูนย์!D75"")"),2724)</f>
        <v>2724</v>
      </c>
      <c r="K338" s="38">
        <f ca="1">IF(I338&gt;0,J338*100/I338,0)</f>
        <v>136.19999999999999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IFERROR(__xludf.DUMMYFUNCTION("IMPORTRANGE(""https://docs.google.com/spreadsheets/d/1QqKyyYR6Q21VydFLVH3TRQUabQu_ym0Zz7PgGX0-kHA/edit?usp=sharing"",""แผน!EH75"")"),5)</f>
        <v>5</v>
      </c>
      <c r="J340" s="37">
        <f ca="1">IFERROR(__xludf.DUMMYFUNCTION("IMPORTRANGE(""https://docs.google.com/spreadsheets/d/1kVcqe37tkHyjCSG3S0O1AXqVkqjo8mSIZil3BcpIysc/edit?usp=sharing"",""ศูนย์!E75"")"),5)</f>
        <v>5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IFERROR(__xludf.DUMMYFUNCTION("IMPORTRANGE(""https://docs.google.com/spreadsheets/d/1kVcqe37tkHyjCSG3S0O1AXqVkqjo8mSIZil3BcpIysc/edit?usp=sharing"",""ศูนย์!F75"")"),53)</f>
        <v>53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IFERROR(__xludf.DUMMYFUNCTION("IMPORTRANGE(""https://docs.google.com/spreadsheets/d/1kVcqe37tkHyjCSG3S0O1AXqVkqjo8mSIZil3BcpIysc/edit?usp=sharing"",""ศูนย์!G75"")"),0)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IFERROR(__xludf.DUMMYFUNCTION("IMPORTRANGE(""https://docs.google.com/spreadsheets/d/1kVcqe37tkHyjCSG3S0O1AXqVkqjo8mSIZil3BcpIysc/edit?usp=sharing"",""ศูนย์!H75"")"),0)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833700</v>
      </c>
      <c r="M345" s="154">
        <f t="shared" ca="1" si="155"/>
        <v>868910</v>
      </c>
      <c r="N345" s="154">
        <f t="shared" ca="1" si="155"/>
        <v>662258.74</v>
      </c>
      <c r="O345" s="154">
        <f t="shared" ref="O345:O353" ca="1" si="156">IF(L345&gt;0,N345*100/L345,0)</f>
        <v>79.436096917356366</v>
      </c>
      <c r="P345" s="154">
        <f t="shared" ref="P345:P353" ca="1" si="157">IF(M345&gt;0,N345*100/M345,0)</f>
        <v>76.217184748708149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833700</v>
      </c>
      <c r="M347" s="45">
        <f t="shared" ca="1" si="158"/>
        <v>868910</v>
      </c>
      <c r="N347" s="45">
        <f t="shared" ca="1" si="158"/>
        <v>662258.74</v>
      </c>
      <c r="O347" s="45">
        <f t="shared" ca="1" si="156"/>
        <v>79.436096917356366</v>
      </c>
      <c r="P347" s="45">
        <f t="shared" ca="1" si="157"/>
        <v>76.217184748708149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735900</v>
      </c>
      <c r="M348" s="38">
        <f t="shared" ca="1" si="159"/>
        <v>775900</v>
      </c>
      <c r="N348" s="38">
        <f t="shared" ca="1" si="159"/>
        <v>569248.74</v>
      </c>
      <c r="O348" s="38">
        <f t="shared" ca="1" si="156"/>
        <v>77.354088870770482</v>
      </c>
      <c r="P348" s="38">
        <f t="shared" ca="1" si="157"/>
        <v>73.366250805516174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IFERROR(__xludf.DUMMYFUNCTION("IMPORTRANGE(""https://docs.google.com/spreadsheets/d/1MeEWN-I1oV_STSDYn1IFDPWt_1FKiwhDph83XaGc0o0/edit?usp=sharing"",""งบพรบ!EW75"")"),735900)</f>
        <v>735900</v>
      </c>
      <c r="M350" s="45">
        <f ca="1">IFERROR(__xludf.DUMMYFUNCTION("IMPORTRANGE(""https://docs.google.com/spreadsheets/d/1MeEWN-I1oV_STSDYn1IFDPWt_1FKiwhDph83XaGc0o0/edit?usp=sharing"",""งบพรบ!FB75"")"),775900)</f>
        <v>775900</v>
      </c>
      <c r="N350" s="45">
        <f ca="1">IFERROR(__xludf.DUMMYFUNCTION("IMPORTRANGE(""https://docs.google.com/spreadsheets/d/1MeEWN-I1oV_STSDYn1IFDPWt_1FKiwhDph83XaGc0o0/edit?usp=sharing"",""งบพรบ!FD75"")"),569248.74)</f>
        <v>569248.74</v>
      </c>
      <c r="O350" s="45">
        <f t="shared" ca="1" si="156"/>
        <v>77.354088870770482</v>
      </c>
      <c r="P350" s="45">
        <f t="shared" ca="1" si="157"/>
        <v>73.366250805516174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97800</v>
      </c>
      <c r="M351" s="38">
        <f t="shared" ca="1" si="160"/>
        <v>93010</v>
      </c>
      <c r="N351" s="38">
        <f t="shared" ca="1" si="160"/>
        <v>93010</v>
      </c>
      <c r="O351" s="38">
        <f t="shared" ca="1" si="156"/>
        <v>95.102249488752562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IFERROR(__xludf.DUMMYFUNCTION("IMPORTRANGE(""https://docs.google.com/spreadsheets/d/1MeEWN-I1oV_STSDYn1IFDPWt_1FKiwhDph83XaGc0o0/edit?usp=sharing"",""งบพรบ!EZ75"")"),97800)</f>
        <v>97800</v>
      </c>
      <c r="M353" s="45">
        <f ca="1">IFERROR(__xludf.DUMMYFUNCTION("IMPORTRANGE(""https://docs.google.com/spreadsheets/d/1MeEWN-I1oV_STSDYn1IFDPWt_1FKiwhDph83XaGc0o0/edit?usp=sharing"",""งบพรบ!FC75"")"),93010)</f>
        <v>93010</v>
      </c>
      <c r="N353" s="45">
        <f ca="1">IFERROR(__xludf.DUMMYFUNCTION("IMPORTRANGE(""https://docs.google.com/spreadsheets/d/1MeEWN-I1oV_STSDYn1IFDPWt_1FKiwhDph83XaGc0o0/edit?usp=sharing"",""งบพรบ!FE75"")"),93010)</f>
        <v>93010</v>
      </c>
      <c r="O353" s="45">
        <f t="shared" ca="1" si="156"/>
        <v>95.102249488752562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IFERROR(__xludf.DUMMYFUNCTION("IMPORTRANGE(""https://docs.google.com/spreadsheets/d/1QqKyyYR6Q21VydFLVH3TRQUabQu_ym0Zz7PgGX0-kHA/edit?usp=sharing"",""แผน!EP75"")"),210)</f>
        <v>210</v>
      </c>
      <c r="J355" s="438">
        <f ca="1">J362</f>
        <v>196</v>
      </c>
      <c r="K355" s="439">
        <f ca="1">IF(I355&gt;0,J355*100/I355,0)</f>
        <v>93.333333333333329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IFERROR(__xludf.DUMMYFUNCTION("IMPORTRANGE(""https://docs.google.com/spreadsheets/d/1XWAQStnk-4SwqDmLtmXYiTMKHgktTP8We1SCoS47DrQ/edit?usp=sharing"",""จัดที่ดิน!W75"")"),269)</f>
        <v>269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IFERROR(__xludf.DUMMYFUNCTION("IMPORTRANGE(""https://docs.google.com/spreadsheets/d/1QqKyyYR6Q21VydFLVH3TRQUabQu_ym0Zz7PgGX0-kHA/edit?usp=sharing"",""แผน!EO75"")"),2100)</f>
        <v>2100</v>
      </c>
      <c r="J359" s="37">
        <f ca="1">IFERROR(__xludf.DUMMYFUNCTION("IMPORTRANGE(""https://docs.google.com/spreadsheets/d/1XWAQStnk-4SwqDmLtmXYiTMKHgktTP8We1SCoS47DrQ/edit?usp=sharing"",""จัดที่ดิน!X75"")"),2911.60999999999)</f>
        <v>2911.6099999999901</v>
      </c>
      <c r="K359" s="38">
        <f t="shared" ca="1" si="161"/>
        <v>138.64809523809475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IFERROR(__xludf.DUMMYFUNCTION("IMPORTRANGE(""https://docs.google.com/spreadsheets/d/1QqKyyYR6Q21VydFLVH3TRQUabQu_ym0Zz7PgGX0-kHA/edit?usp=sharing"",""แผน!EP75"")"),210)</f>
        <v>210</v>
      </c>
      <c r="J360" s="37">
        <f ca="1">IFERROR(__xludf.DUMMYFUNCTION("IMPORTRANGE(""https://docs.google.com/spreadsheets/d/1XWAQStnk-4SwqDmLtmXYiTMKHgktTP8We1SCoS47DrQ/edit?usp=sharing"",""จัดที่ดิน!Y75"")"),283)</f>
        <v>283</v>
      </c>
      <c r="K360" s="38">
        <f t="shared" ca="1" si="161"/>
        <v>134.76190476190476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IFERROR(__xludf.DUMMYFUNCTION("IMPORTRANGE(""https://docs.google.com/spreadsheets/d/1XWAQStnk-4SwqDmLtmXYiTMKHgktTP8We1SCoS47DrQ/edit?usp=sharing"",""จัดที่ดิน!Z75"")"),4788.81)</f>
        <v>4788.8100000000004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IFERROR(__xludf.DUMMYFUNCTION("IMPORTRANGE(""https://docs.google.com/spreadsheets/d/1QqKyyYR6Q21VydFLVH3TRQUabQu_ym0Zz7PgGX0-kHA/edit?usp=sharing"",""แผน!EP75"")"),210)</f>
        <v>210</v>
      </c>
      <c r="J362" s="37">
        <f ca="1">IFERROR(__xludf.DUMMYFUNCTION("IMPORTRANGE(""https://docs.google.com/spreadsheets/d/1XWAQStnk-4SwqDmLtmXYiTMKHgktTP8We1SCoS47DrQ/edit?usp=sharing"",""จัดที่ดิน!AA75"")"),196)</f>
        <v>196</v>
      </c>
      <c r="K362" s="38">
        <f t="shared" ca="1" si="161"/>
        <v>93.333333333333329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IFERROR(__xludf.DUMMYFUNCTION("IMPORTRANGE(""https://docs.google.com/spreadsheets/d/1XWAQStnk-4SwqDmLtmXYiTMKHgktTP8We1SCoS47DrQ/edit?usp=sharing"",""จัดที่ดิน!AB75"")"),3474.07)</f>
        <v>3474.07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270</v>
      </c>
      <c r="J364" s="452">
        <f t="shared" ca="1" si="162"/>
        <v>467</v>
      </c>
      <c r="K364" s="453">
        <f t="shared" ca="1" si="161"/>
        <v>172.96296296296296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IFERROR(__xludf.DUMMYFUNCTION("IMPORTRANGE(""https://docs.google.com/spreadsheets/d/1QqKyyYR6Q21VydFLVH3TRQUabQu_ym0Zz7PgGX0-kHA/edit?usp=sharing"",""แผน!EJ75"")"),130)</f>
        <v>130</v>
      </c>
      <c r="J365" s="462">
        <f ca="1">J372</f>
        <v>138</v>
      </c>
      <c r="K365" s="463">
        <f t="shared" ca="1" si="161"/>
        <v>106.15384615384616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IFERROR(__xludf.DUMMYFUNCTION("IMPORTRANGE(""https://docs.google.com/spreadsheets/d/1XWAQStnk-4SwqDmLtmXYiTMKHgktTP8We1SCoS47DrQ/edit?usp=sharing"",""จัดที่ดิน!E75"")"),137)</f>
        <v>137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IFERROR(__xludf.DUMMYFUNCTION("IMPORTRANGE(""https://docs.google.com/spreadsheets/d/1QqKyyYR6Q21VydFLVH3TRQUabQu_ym0Zz7PgGX0-kHA/edit?usp=sharing"",""แผน!EI75"")"),1300)</f>
        <v>1300</v>
      </c>
      <c r="J369" s="37">
        <f ca="1">IFERROR(__xludf.DUMMYFUNCTION("IMPORTRANGE(""https://docs.google.com/spreadsheets/d/1XWAQStnk-4SwqDmLtmXYiTMKHgktTP8We1SCoS47DrQ/edit?usp=sharing"",""จัดที่ดิน!F75"")"),1602.57)</f>
        <v>1602.57</v>
      </c>
      <c r="K369" s="38">
        <f t="shared" ca="1" si="163"/>
        <v>123.27461538461539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IFERROR(__xludf.DUMMYFUNCTION("IMPORTRANGE(""https://docs.google.com/spreadsheets/d/1QqKyyYR6Q21VydFLVH3TRQUabQu_ym0Zz7PgGX0-kHA/edit?usp=sharing"",""แผน!EJ75"")"),130)</f>
        <v>130</v>
      </c>
      <c r="J370" s="37">
        <f ca="1">IFERROR(__xludf.DUMMYFUNCTION("IMPORTRANGE(""https://docs.google.com/spreadsheets/d/1XWAQStnk-4SwqDmLtmXYiTMKHgktTP8We1SCoS47DrQ/edit?usp=sharing"",""จัดที่ดิน!G75"")"),163)</f>
        <v>163</v>
      </c>
      <c r="K370" s="38">
        <f t="shared" ca="1" si="163"/>
        <v>125.38461538461539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IFERROR(__xludf.DUMMYFUNCTION("IMPORTRANGE(""https://docs.google.com/spreadsheets/d/1XWAQStnk-4SwqDmLtmXYiTMKHgktTP8We1SCoS47DrQ/edit?usp=sharing"",""จัดที่ดิน!H75"")"),3550.03)</f>
        <v>3550.03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IFERROR(__xludf.DUMMYFUNCTION("IMPORTRANGE(""https://docs.google.com/spreadsheets/d/1QqKyyYR6Q21VydFLVH3TRQUabQu_ym0Zz7PgGX0-kHA/edit?usp=sharing"",""แผน!EJ75"")"),130)</f>
        <v>130</v>
      </c>
      <c r="J372" s="37">
        <f ca="1">IFERROR(__xludf.DUMMYFUNCTION("IMPORTRANGE(""https://docs.google.com/spreadsheets/d/1XWAQStnk-4SwqDmLtmXYiTMKHgktTP8We1SCoS47DrQ/edit?usp=sharing"",""จัดที่ดิน!I75"")"),138)</f>
        <v>138</v>
      </c>
      <c r="K372" s="38">
        <f t="shared" ca="1" si="163"/>
        <v>106.15384615384616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IFERROR(__xludf.DUMMYFUNCTION("IMPORTRANGE(""https://docs.google.com/spreadsheets/d/1XWAQStnk-4SwqDmLtmXYiTMKHgktTP8We1SCoS47DrQ/edit?usp=sharing"",""จัดที่ดิน!J75"")"),2882.32)</f>
        <v>2882.32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IFERROR(__xludf.DUMMYFUNCTION("IMPORTRANGE(""https://docs.google.com/spreadsheets/d/1QqKyyYR6Q21VydFLVH3TRQUabQu_ym0Zz7PgGX0-kHA/edit?usp=sharing"",""แผน!EU75"")"),140)</f>
        <v>140</v>
      </c>
      <c r="J374" s="462">
        <f ca="1">J381</f>
        <v>329</v>
      </c>
      <c r="K374" s="463">
        <f t="shared" ca="1" si="163"/>
        <v>235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IFERROR(__xludf.DUMMYFUNCTION("IMPORTRANGE(""https://docs.google.com/spreadsheets/d/1XWAQStnk-4SwqDmLtmXYiTMKHgktTP8We1SCoS47DrQ/edit?usp=sharing"",""จัดที่ดิน!AH75"")"),132)</f>
        <v>132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IFERROR(__xludf.DUMMYFUNCTION("IMPORTRANGE(""https://docs.google.com/spreadsheets/d/1QqKyyYR6Q21VydFLVH3TRQUabQu_ym0Zz7PgGX0-kHA/edit?usp=sharing"",""แผน!ET75"")"),800)</f>
        <v>800</v>
      </c>
      <c r="J378" s="37">
        <f ca="1">IFERROR(__xludf.DUMMYFUNCTION("IMPORTRANGE(""https://docs.google.com/spreadsheets/d/1XWAQStnk-4SwqDmLtmXYiTMKHgktTP8We1SCoS47DrQ/edit?usp=sharing"",""จัดที่ดิน!AI75"")"),1309.04)</f>
        <v>1309.04</v>
      </c>
      <c r="K378" s="38">
        <f t="shared" ca="1" si="164"/>
        <v>163.63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IFERROR(__xludf.DUMMYFUNCTION("IMPORTRANGE(""https://docs.google.com/spreadsheets/d/1QqKyyYR6Q21VydFLVH3TRQUabQu_ym0Zz7PgGX0-kHA/edit?usp=sharing"",""แผน!EU75"")"),140)</f>
        <v>140</v>
      </c>
      <c r="J379" s="37">
        <f ca="1">IFERROR(__xludf.DUMMYFUNCTION("IMPORTRANGE(""https://docs.google.com/spreadsheets/d/1XWAQStnk-4SwqDmLtmXYiTMKHgktTP8We1SCoS47DrQ/edit?usp=sharing"",""จัดที่ดิน!AJ75"")"),391)</f>
        <v>391</v>
      </c>
      <c r="K379" s="38">
        <f t="shared" ca="1" si="164"/>
        <v>279.28571428571428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IFERROR(__xludf.DUMMYFUNCTION("IMPORTRANGE(""https://docs.google.com/spreadsheets/d/1XWAQStnk-4SwqDmLtmXYiTMKHgktTP8We1SCoS47DrQ/edit?usp=sharing"",""จัดที่ดิน!AK75"")"),5629.46)</f>
        <v>5629.46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IFERROR(__xludf.DUMMYFUNCTION("IMPORTRANGE(""https://docs.google.com/spreadsheets/d/1QqKyyYR6Q21VydFLVH3TRQUabQu_ym0Zz7PgGX0-kHA/edit?usp=sharing"",""แผน!EU75"")"),140)</f>
        <v>140</v>
      </c>
      <c r="J381" s="37">
        <f ca="1">IFERROR(__xludf.DUMMYFUNCTION("IMPORTRANGE(""https://docs.google.com/spreadsheets/d/1XWAQStnk-4SwqDmLtmXYiTMKHgktTP8We1SCoS47DrQ/edit?usp=sharing"",""จัดที่ดิน!AL75"")"),329)</f>
        <v>329</v>
      </c>
      <c r="K381" s="38">
        <f t="shared" ca="1" si="164"/>
        <v>235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IFERROR(__xludf.DUMMYFUNCTION("IMPORTRANGE(""https://docs.google.com/spreadsheets/d/1XWAQStnk-4SwqDmLtmXYiTMKHgktTP8We1SCoS47DrQ/edit?usp=sharing"",""จัดที่ดิน!AM75"")"),4982.43)</f>
        <v>4982.43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IFERROR(__xludf.DUMMYFUNCTION("IMPORTRANGE(""https://docs.google.com/spreadsheets/d/1QqKyyYR6Q21VydFLVH3TRQUabQu_ym0Zz7PgGX0-kHA/edit?usp=sharing"",""แผน!EW75"")"),20)</f>
        <v>20</v>
      </c>
      <c r="J385" s="365">
        <f ca="1">IFERROR(__xludf.DUMMYFUNCTION("IMPORTRANGE(""https://docs.google.com/spreadsheets/d/1XWAQStnk-4SwqDmLtmXYiTMKHgktTP8We1SCoS47DrQ/edit?usp=sharing"",""จัดที่ดิน!AP75"")"),5)</f>
        <v>5</v>
      </c>
      <c r="K385" s="475">
        <f ca="1">IF(I385&gt;0,J385*100/I385,0)</f>
        <v>25</v>
      </c>
      <c r="L385" s="366"/>
      <c r="M385" s="366"/>
      <c r="N385" s="366"/>
      <c r="O385" s="366"/>
      <c r="P385" s="366"/>
    </row>
    <row r="386" spans="1:26" ht="19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26000000</v>
      </c>
      <c r="M389" s="154">
        <f t="shared" ca="1" si="166"/>
        <v>26000000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26000000</v>
      </c>
      <c r="M391" s="45">
        <f t="shared" ca="1" si="169"/>
        <v>26000000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IFERROR(__xludf.DUMMYFUNCTION("IMPORTRANGE(""https://docs.google.com/spreadsheets/d/1MeEWN-I1oV_STSDYn1IFDPWt_1FKiwhDph83XaGc0o0/edit?usp=sharing"",""งบพรบ!FG75"")"),0)</f>
        <v>0</v>
      </c>
      <c r="M394" s="45">
        <f ca="1">IFERROR(__xludf.DUMMYFUNCTION("IMPORTRANGE(""https://docs.google.com/spreadsheets/d/1MeEWN-I1oV_STSDYn1IFDPWt_1FKiwhDph83XaGc0o0/edit?usp=sharing"",""งบพรบ!FL75"")"),0)</f>
        <v>0</v>
      </c>
      <c r="N394" s="45">
        <f ca="1">IFERROR(__xludf.DUMMYFUNCTION("IMPORTRANGE(""https://docs.google.com/spreadsheets/d/1MeEWN-I1oV_STSDYn1IFDPWt_1FKiwhDph83XaGc0o0/edit?usp=sharing"",""งบพรบ!FN75"")"),0)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26000000</v>
      </c>
      <c r="M395" s="38">
        <f t="shared" ca="1" si="171"/>
        <v>26000000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IFERROR(__xludf.DUMMYFUNCTION("IMPORTRANGE(""https://docs.google.com/spreadsheets/d/1MeEWN-I1oV_STSDYn1IFDPWt_1FKiwhDph83XaGc0o0/edit?usp=sharing"",""งบพรบ!FJ75"")"),26000000)</f>
        <v>26000000</v>
      </c>
      <c r="M397" s="45">
        <f ca="1">IFERROR(__xludf.DUMMYFUNCTION("IMPORTRANGE(""https://docs.google.com/spreadsheets/d/1MeEWN-I1oV_STSDYn1IFDPWt_1FKiwhDph83XaGc0o0/edit?usp=sharing"",""งบพรบ!FM75"")"),26000000)</f>
        <v>26000000</v>
      </c>
      <c r="N397" s="45">
        <f ca="1">IFERROR(__xludf.DUMMYFUNCTION("IMPORTRANGE(""https://docs.google.com/spreadsheets/d/1MeEWN-I1oV_STSDYn1IFDPWt_1FKiwhDph83XaGc0o0/edit?usp=sharing"",""งบพรบ!FO75"")"),0)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15</v>
      </c>
      <c r="J401" s="495">
        <f t="shared" si="173"/>
        <v>13</v>
      </c>
      <c r="K401" s="496">
        <f t="shared" si="172"/>
        <v>86.666666666666671</v>
      </c>
      <c r="L401" s="497"/>
      <c r="M401" s="497"/>
      <c r="N401" s="497"/>
      <c r="O401" s="497"/>
      <c r="P401" s="497"/>
    </row>
    <row r="402" spans="1:26" ht="19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34000000</v>
      </c>
      <c r="M402" s="154">
        <f t="shared" ca="1" si="174"/>
        <v>34000000</v>
      </c>
      <c r="N402" s="154">
        <f t="shared" ca="1" si="174"/>
        <v>27368304</v>
      </c>
      <c r="O402" s="154">
        <f t="shared" ref="O402:O410" ca="1" si="175">IF(L402&gt;0,N402*100/L402,0)</f>
        <v>80.495011764705879</v>
      </c>
      <c r="P402" s="154">
        <f t="shared" ref="P402:P410" ca="1" si="176">IF(M402&gt;0,N402*100/M402,0)</f>
        <v>80.495011764705879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34000000</v>
      </c>
      <c r="M404" s="45">
        <f t="shared" ca="1" si="177"/>
        <v>34000000</v>
      </c>
      <c r="N404" s="45">
        <f t="shared" ca="1" si="177"/>
        <v>27368304</v>
      </c>
      <c r="O404" s="45">
        <f t="shared" ca="1" si="175"/>
        <v>80.495011764705879</v>
      </c>
      <c r="P404" s="45">
        <f t="shared" ca="1" si="176"/>
        <v>80.495011764705879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IFERROR(__xludf.DUMMYFUNCTION("IMPORTRANGE(""https://docs.google.com/spreadsheets/d/1MeEWN-I1oV_STSDYn1IFDPWt_1FKiwhDph83XaGc0o0/edit?usp=sharing"",""งบพรบ!FQ75"")"),0)</f>
        <v>0</v>
      </c>
      <c r="M407" s="45">
        <f ca="1">IFERROR(__xludf.DUMMYFUNCTION("IMPORTRANGE(""https://docs.google.com/spreadsheets/d/1MeEWN-I1oV_STSDYn1IFDPWt_1FKiwhDph83XaGc0o0/edit?usp=sharing"",""งบพรบ!FV75"")"),0)</f>
        <v>0</v>
      </c>
      <c r="N407" s="45">
        <f ca="1">IFERROR(__xludf.DUMMYFUNCTION("IMPORTRANGE(""https://docs.google.com/spreadsheets/d/1MeEWN-I1oV_STSDYn1IFDPWt_1FKiwhDph83XaGc0o0/edit?usp=sharing"",""งบพรบ!FX75"")"),0)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34000000</v>
      </c>
      <c r="M408" s="38">
        <f t="shared" ca="1" si="179"/>
        <v>34000000</v>
      </c>
      <c r="N408" s="38">
        <f t="shared" ca="1" si="179"/>
        <v>27368304</v>
      </c>
      <c r="O408" s="38">
        <f t="shared" ca="1" si="175"/>
        <v>80.495011764705879</v>
      </c>
      <c r="P408" s="38">
        <f t="shared" ca="1" si="176"/>
        <v>80.495011764705879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IFERROR(__xludf.DUMMYFUNCTION("IMPORTRANGE(""https://docs.google.com/spreadsheets/d/1MeEWN-I1oV_STSDYn1IFDPWt_1FKiwhDph83XaGc0o0/edit?usp=sharing"",""งบพรบ!FT75"")"),34000000)</f>
        <v>34000000</v>
      </c>
      <c r="M410" s="45">
        <f ca="1">IFERROR(__xludf.DUMMYFUNCTION("IMPORTRANGE(""https://docs.google.com/spreadsheets/d/1MeEWN-I1oV_STSDYn1IFDPWt_1FKiwhDph83XaGc0o0/edit?usp=sharing"",""งบพรบ!FW75"")"),34000000)</f>
        <v>34000000</v>
      </c>
      <c r="N410" s="45">
        <f ca="1">IFERROR(__xludf.DUMMYFUNCTION("IMPORTRANGE(""https://docs.google.com/spreadsheets/d/1MeEWN-I1oV_STSDYn1IFDPWt_1FKiwhDph83XaGc0o0/edit?usp=sharing"",""งบพรบ!FY75"")"),27368304)</f>
        <v>27368304</v>
      </c>
      <c r="O410" s="45">
        <f t="shared" ca="1" si="175"/>
        <v>80.495011764705879</v>
      </c>
      <c r="P410" s="45">
        <f t="shared" ca="1" si="176"/>
        <v>80.495011764705879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15</v>
      </c>
      <c r="J412" s="181">
        <v>13</v>
      </c>
      <c r="K412" s="38">
        <f t="shared" ref="K412:K413" si="180">IF(I412&gt;0,J412*100/I412,0)</f>
        <v>86.666666666666671</v>
      </c>
      <c r="L412" s="162"/>
      <c r="M412" s="162"/>
      <c r="N412" s="162"/>
      <c r="O412" s="162"/>
      <c r="P412" s="162"/>
    </row>
    <row r="413" spans="1:26" ht="19.5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795800</v>
      </c>
      <c r="J413" s="512">
        <v>660431</v>
      </c>
      <c r="K413" s="513">
        <f t="shared" si="180"/>
        <v>82.989570243779838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1733577</v>
      </c>
      <c r="M414" s="521">
        <f t="shared" ca="1" si="181"/>
        <v>1733577</v>
      </c>
      <c r="N414" s="521">
        <f t="shared" si="181"/>
        <v>512855.34</v>
      </c>
      <c r="O414" s="521">
        <f ca="1">IF(L414&gt;0,N414*100/L414,0)</f>
        <v>29.583649298531302</v>
      </c>
      <c r="P414" s="521">
        <f ca="1">IF(M414&gt;0,N414*100/M414,0)</f>
        <v>29.583649298531302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15</v>
      </c>
      <c r="J417" s="536">
        <f t="shared" ca="1" si="182"/>
        <v>15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1</v>
      </c>
      <c r="J418" s="536">
        <f t="shared" si="182"/>
        <v>1</v>
      </c>
      <c r="K418" s="537">
        <f t="shared" ca="1" si="183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66560</v>
      </c>
      <c r="M419" s="154">
        <f t="shared" ca="1" si="184"/>
        <v>66560</v>
      </c>
      <c r="N419" s="154">
        <f t="shared" si="184"/>
        <v>65518</v>
      </c>
      <c r="O419" s="154">
        <f t="shared" ref="O419:O424" ca="1" si="185">IF(L419&gt;0,N419*100/L419,0)</f>
        <v>98.434495192307693</v>
      </c>
      <c r="P419" s="154">
        <f t="shared" ref="P419:P424" ca="1" si="186">IF(M419&gt;0,N419*100/M419,0)</f>
        <v>98.434495192307693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66560</v>
      </c>
      <c r="M421" s="45">
        <f t="shared" ca="1" si="187"/>
        <v>66560</v>
      </c>
      <c r="N421" s="45">
        <f t="shared" si="187"/>
        <v>65518</v>
      </c>
      <c r="O421" s="45">
        <f t="shared" ca="1" si="185"/>
        <v>98.434495192307693</v>
      </c>
      <c r="P421" s="45">
        <f t="shared" ca="1" si="186"/>
        <v>98.434495192307693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66560</v>
      </c>
      <c r="M422" s="38">
        <f t="shared" ca="1" si="188"/>
        <v>66560</v>
      </c>
      <c r="N422" s="38">
        <f t="shared" si="188"/>
        <v>65518</v>
      </c>
      <c r="O422" s="38">
        <f t="shared" ca="1" si="185"/>
        <v>98.434495192307693</v>
      </c>
      <c r="P422" s="38">
        <f t="shared" ca="1" si="186"/>
        <v>98.434495192307693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IFERROR(__xludf.DUMMYFUNCTION("IMPORTRANGE(""https://docs.google.com/spreadsheets/d/1QqKyyYR6Q21VydFLVH3TRQUabQu_ym0Zz7PgGX0-kHA/edit?usp=sharing"",""แผน!EY75"")"),66560)</f>
        <v>66560</v>
      </c>
      <c r="M424" s="45">
        <f ca="1">L424</f>
        <v>66560</v>
      </c>
      <c r="N424" s="45">
        <f>N425+N426+N427+N428</f>
        <v>65518</v>
      </c>
      <c r="O424" s="45">
        <f t="shared" ca="1" si="185"/>
        <v>98.434495192307693</v>
      </c>
      <c r="P424" s="45">
        <f t="shared" ca="1" si="186"/>
        <v>98.434495192307693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42295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23223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IFERROR(__xludf.DUMMYFUNCTION("IMPORTRANGE(""https://docs.google.com/spreadsheets/d/1QqKyyYR6Q21VydFLVH3TRQUabQu_ym0Zz7PgGX0-kHA/edit?usp=sharing"",""แผน!FB75"")"),0)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IFERROR(__xludf.DUMMYFUNCTION("IMPORTRANGE(""https://docs.google.com/spreadsheets/d/1QqKyyYR6Q21VydFLVH3TRQUabQu_ym0Zz7PgGX0-kHA/edit?usp=sharing"",""แผน!FC75"")"),15)</f>
        <v>15</v>
      </c>
      <c r="J435" s="549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IFERROR(__xludf.DUMMYFUNCTION("IMPORTRANGE(""https://docs.google.com/spreadsheets/d/1QqKyyYR6Q21VydFLVH3TRQUabQu_ym0Zz7PgGX0-kHA/edit?usp=sharing"",""แผน!FD75"")"),0)</f>
        <v>0</v>
      </c>
      <c r="J437" s="549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IFERROR(__xludf.DUMMYFUNCTION("IMPORTRANGE(""https://docs.google.com/spreadsheets/d/1QqKyyYR6Q21VydFLVH3TRQUabQu_ym0Zz7PgGX0-kHA/edit?usp=sharing"",""แผน!FE75"")"),0)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IFERROR(__xludf.DUMMYFUNCTION("IMPORTRANGE(""https://docs.google.com/spreadsheets/d/1QqKyyYR6Q21VydFLVH3TRQUabQu_ym0Zz7PgGX0-kHA/edit?usp=sharing"",""แผน!FF75"")"),15)</f>
        <v>15</v>
      </c>
      <c r="J439" s="549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IFERROR(__xludf.DUMMYFUNCTION("IMPORTRANGE(""https://docs.google.com/spreadsheets/d/1QqKyyYR6Q21VydFLVH3TRQUabQu_ym0Zz7PgGX0-kHA/edit?usp=sharing"",""แผน!FG75"")"),1)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IFERROR(__xludf.DUMMYFUNCTION("IMPORTRANGE(""https://docs.google.com/spreadsheets/d/1QqKyyYR6Q21VydFLVH3TRQUabQu_ym0Zz7PgGX0-kHA/edit?usp=sharing"",""แผน!FH75"")"),0)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 hidden="1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0</v>
      </c>
      <c r="J443" s="536">
        <f t="shared" si="196"/>
        <v>0</v>
      </c>
      <c r="K443" s="537">
        <f t="shared" ca="1" si="194"/>
        <v>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 hidden="1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 hidden="1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IFERROR(__xludf.DUMMYFUNCTION("IMPORTRANGE(""https://docs.google.com/spreadsheets/d/1QqKyyYR6Q21VydFLVH3TRQUabQu_ym0Zz7PgGX0-kHA/edit?usp=sharing"",""แผน!FJ75"")"),0)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 hidden="1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 hidden="1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 hidden="1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 hidden="1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 hidden="1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IFERROR(__xludf.DUMMYFUNCTION("IMPORTRANGE(""https://docs.google.com/spreadsheets/d/1QqKyyYR6Q21VydFLVH3TRQUabQu_ym0Zz7PgGX0-kHA/edit?usp=sharing"",""แผน!FM75"")"),0)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 hidden="1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 hidden="1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IFERROR(__xludf.DUMMYFUNCTION("IMPORTRANGE(""https://docs.google.com/spreadsheets/d/1QqKyyYR6Q21VydFLVH3TRQUabQu_ym0Zz7PgGX0-kHA/edit?usp=sharing"",""แผน!FN75"")"),0)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 hidden="1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 hidden="1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IFERROR(__xludf.DUMMYFUNCTION("IMPORTRANGE(""https://docs.google.com/spreadsheets/d/1QqKyyYR6Q21VydFLVH3TRQUabQu_ym0Zz7PgGX0-kHA/edit?usp=sharing"",""แผน!FO75"")"),0)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 hidden="1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IFERROR(__xludf.DUMMYFUNCTION("IMPORTRANGE(""https://docs.google.com/spreadsheets/d/1QqKyyYR6Q21VydFLVH3TRQUabQu_ym0Zz7PgGX0-kHA/edit?usp=sharing"",""แผน!FO75"")"),0)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 hidden="1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IFERROR(__xludf.DUMMYFUNCTION("IMPORTRANGE(""https://docs.google.com/spreadsheets/d/1QqKyyYR6Q21VydFLVH3TRQUabQu_ym0Zz7PgGX0-kHA/edit?usp=sharing"",""แผน!FN75"")"),0)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IFERROR(__xludf.DUMMYFUNCTION("IMPORTRANGE(""https://docs.google.com/spreadsheets/d/1QqKyyYR6Q21VydFLVH3TRQUabQu_ym0Zz7PgGX0-kHA/edit?usp=sharing"",""แผน!FX75"")"),31)</f>
        <v>31</v>
      </c>
      <c r="J465" s="555">
        <f>J485+J489+J492</f>
        <v>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IFERROR(__xludf.DUMMYFUNCTION("IMPORTRANGE(""https://docs.google.com/spreadsheets/d/1QqKyyYR6Q21VydFLVH3TRQUabQu_ym0Zz7PgGX0-kHA/edit?usp=sharing"",""แผน!FW75"")"),300)</f>
        <v>300</v>
      </c>
      <c r="J466" s="536">
        <f>J495+J498</f>
        <v>0</v>
      </c>
      <c r="K466" s="537">
        <f t="shared" ca="1" si="205"/>
        <v>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263283</v>
      </c>
      <c r="M467" s="191">
        <f t="shared" ca="1" si="206"/>
        <v>263283</v>
      </c>
      <c r="N467" s="191">
        <f t="shared" si="206"/>
        <v>57997</v>
      </c>
      <c r="O467" s="191">
        <f t="shared" ref="O467:O472" ca="1" si="207">IF(L467&gt;0,N467*100/L467,0)</f>
        <v>22.028387704485286</v>
      </c>
      <c r="P467" s="191">
        <f t="shared" ref="P467:P472" ca="1" si="208">IF(M467&gt;0,N467*100/M467,0)</f>
        <v>22.028387704485286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263283</v>
      </c>
      <c r="M469" s="45">
        <f t="shared" ca="1" si="209"/>
        <v>263283</v>
      </c>
      <c r="N469" s="45">
        <f t="shared" si="209"/>
        <v>57997</v>
      </c>
      <c r="O469" s="45">
        <f t="shared" ca="1" si="207"/>
        <v>22.028387704485286</v>
      </c>
      <c r="P469" s="45">
        <f t="shared" ca="1" si="208"/>
        <v>22.028387704485286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263283</v>
      </c>
      <c r="M470" s="38">
        <f t="shared" ca="1" si="210"/>
        <v>263283</v>
      </c>
      <c r="N470" s="38">
        <f t="shared" si="210"/>
        <v>57997</v>
      </c>
      <c r="O470" s="38">
        <f t="shared" ca="1" si="207"/>
        <v>22.028387704485286</v>
      </c>
      <c r="P470" s="38">
        <f t="shared" ca="1" si="208"/>
        <v>22.028387704485286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IFERROR(__xludf.DUMMYFUNCTION("IMPORTRANGE(""https://docs.google.com/spreadsheets/d/1QqKyyYR6Q21VydFLVH3TRQUabQu_ym0Zz7PgGX0-kHA/edit?usp=sharing"",""แผน!FS75"")"),263283)</f>
        <v>263283</v>
      </c>
      <c r="M472" s="45">
        <f ca="1">L472</f>
        <v>263283</v>
      </c>
      <c r="N472" s="45">
        <f>N473+N474+N475+N476</f>
        <v>57997</v>
      </c>
      <c r="O472" s="45">
        <f t="shared" ca="1" si="207"/>
        <v>22.028387704485286</v>
      </c>
      <c r="P472" s="45">
        <f t="shared" ca="1" si="208"/>
        <v>22.028387704485286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37652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20345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IFERROR(__xludf.DUMMYFUNCTION("IMPORTRANGE(""https://docs.google.com/spreadsheets/d/1QqKyyYR6Q21VydFLVH3TRQUabQu_ym0Zz7PgGX0-kHA/edit?usp=sharing"",""แผน!FV75"")"),0)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IFERROR(__xludf.DUMMYFUNCTION("IMPORTRANGE(""https://docs.google.com/spreadsheets/d/1QqKyyYR6Q21VydFLVH3TRQUabQu_ym0Zz7PgGX0-kHA/edit?usp=sharing"",""แผน!FY75"")"),270)</f>
        <v>270</v>
      </c>
      <c r="J483" s="181">
        <v>270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34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IFERROR(__xludf.DUMMYFUNCTION("IMPORTRANGE(""https://docs.google.com/spreadsheets/d/1QqKyyYR6Q21VydFLVH3TRQUabQu_ym0Zz7PgGX0-kHA/edit?usp=sharing"",""แผน!FZ75"")"),27)</f>
        <v>27</v>
      </c>
      <c r="J485" s="181">
        <v>27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IFERROR(__xludf.DUMMYFUNCTION("IMPORTRANGE(""https://docs.google.com/spreadsheets/d/1QqKyyYR6Q21VydFLVH3TRQUabQu_ym0Zz7PgGX0-kHA/edit?usp=sharing"",""แผน!GA75"")"),30)</f>
        <v>30</v>
      </c>
      <c r="J487" s="181">
        <v>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3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IFERROR(__xludf.DUMMYFUNCTION("IMPORTRANGE(""https://docs.google.com/spreadsheets/d/1QqKyyYR6Q21VydFLVH3TRQUabQu_ym0Zz7PgGX0-kHA/edit?usp=sharing"",""แผน!GB75"")"),3)</f>
        <v>3</v>
      </c>
      <c r="J489" s="181">
        <v>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IFERROR(__xludf.DUMMYFUNCTION("IMPORTRANGE(""https://docs.google.com/spreadsheets/d/1QqKyyYR6Q21VydFLVH3TRQUabQu_ym0Zz7PgGX0-kHA/edit?usp=sharing"",""แผน!GC75"")"),1)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IFERROR(__xludf.DUMMYFUNCTION("IMPORTRANGE(""https://docs.google.com/spreadsheets/d/1QqKyyYR6Q21VydFLVH3TRQUabQu_ym0Zz7PgGX0-kHA/edit?usp=sharing"",""แผน!FY75"")"),270)</f>
        <v>270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IFERROR(__xludf.DUMMYFUNCTION("IMPORTRANGE(""https://docs.google.com/spreadsheets/d/1QqKyyYR6Q21VydFLVH3TRQUabQu_ym0Zz7PgGX0-kHA/edit?usp=sharing"",""แผน!GA75"")"),30)</f>
        <v>30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80</v>
      </c>
      <c r="J522" s="630">
        <f t="shared" ca="1" si="225"/>
        <v>80</v>
      </c>
      <c r="K522" s="631">
        <f ca="1">IF(I522&gt;0,J522*100/I522,0)</f>
        <v>100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667960</v>
      </c>
      <c r="M523" s="191">
        <f t="shared" ca="1" si="226"/>
        <v>667960</v>
      </c>
      <c r="N523" s="191">
        <f t="shared" si="226"/>
        <v>130420</v>
      </c>
      <c r="O523" s="191">
        <f t="shared" ref="O523:O528" ca="1" si="227">IF(L523&gt;0,N523*100/L523,0)</f>
        <v>19.525121264746392</v>
      </c>
      <c r="P523" s="191">
        <f t="shared" ref="P523:P528" ca="1" si="228">IF(M523&gt;0,N523*100/M523,0)</f>
        <v>19.525121264746392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667960</v>
      </c>
      <c r="M525" s="45">
        <f t="shared" ca="1" si="229"/>
        <v>667960</v>
      </c>
      <c r="N525" s="45">
        <f t="shared" si="229"/>
        <v>130420</v>
      </c>
      <c r="O525" s="45">
        <f t="shared" ca="1" si="227"/>
        <v>19.525121264746392</v>
      </c>
      <c r="P525" s="45">
        <f t="shared" ca="1" si="228"/>
        <v>19.525121264746392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667960</v>
      </c>
      <c r="M526" s="38">
        <f t="shared" ca="1" si="230"/>
        <v>667960</v>
      </c>
      <c r="N526" s="38">
        <f t="shared" si="230"/>
        <v>130420</v>
      </c>
      <c r="O526" s="38">
        <f t="shared" ca="1" si="227"/>
        <v>19.525121264746392</v>
      </c>
      <c r="P526" s="38">
        <f t="shared" ca="1" si="228"/>
        <v>19.525121264746392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IFERROR(__xludf.DUMMYFUNCTION("IMPORTRANGE(""https://docs.google.com/spreadsheets/d/1QqKyyYR6Q21VydFLVH3TRQUabQu_ym0Zz7PgGX0-kHA/edit?usp=sharing"",""แผน!GQ75"")"),667960)</f>
        <v>667960</v>
      </c>
      <c r="M528" s="45">
        <f ca="1">L528</f>
        <v>667960</v>
      </c>
      <c r="N528" s="45">
        <f>N529+N530+N531+N532</f>
        <v>130420</v>
      </c>
      <c r="O528" s="45">
        <f t="shared" ca="1" si="227"/>
        <v>19.525121264746392</v>
      </c>
      <c r="P528" s="45">
        <f t="shared" ca="1" si="228"/>
        <v>19.525121264746392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102060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28360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IFERROR(__xludf.DUMMYFUNCTION("IMPORTRANGE(""https://docs.google.com/spreadsheets/d/1QqKyyYR6Q21VydFLVH3TRQUabQu_ym0Zz7PgGX0-kHA/edit?usp=sharing"",""แผน!GT75"")"),0)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IFERROR(__xludf.DUMMYFUNCTION("IMPORTRANGE(""https://docs.google.com/spreadsheets/d/1QqKyyYR6Q21VydFLVH3TRQUabQu_ym0Zz7PgGX0-kHA/edit?usp=sharing"",""แผน!GU75"")"),80)</f>
        <v>80</v>
      </c>
      <c r="J537" s="190">
        <f ca="1">IF(AND(J538=I538,J539=I539,J540=I540,J541=I541),I537,0)</f>
        <v>80</v>
      </c>
      <c r="K537" s="38">
        <f t="shared" ref="K537:K543" ca="1" si="234">IF(I537&gt;0,J537*100/I537,0)</f>
        <v>100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IFERROR(__xludf.DUMMYFUNCTION("IMPORTRANGE(""https://docs.google.com/spreadsheets/d/1QqKyyYR6Q21VydFLVH3TRQUabQu_ym0Zz7PgGX0-kHA/edit?usp=sharing"",""แผน!GV75"")"),80)</f>
        <v>80</v>
      </c>
      <c r="J538" s="181">
        <v>80</v>
      </c>
      <c r="K538" s="38">
        <f t="shared" ca="1" si="234"/>
        <v>100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IFERROR(__xludf.DUMMYFUNCTION("IMPORTRANGE(""https://docs.google.com/spreadsheets/d/1QqKyyYR6Q21VydFLVH3TRQUabQu_ym0Zz7PgGX0-kHA/edit?usp=sharing"",""แผน!GW75"")"),80)</f>
        <v>80</v>
      </c>
      <c r="J539" s="181">
        <v>80</v>
      </c>
      <c r="K539" s="38">
        <f t="shared" ca="1" si="234"/>
        <v>100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IFERROR(__xludf.DUMMYFUNCTION("IMPORTRANGE(""https://docs.google.com/spreadsheets/d/1QqKyyYR6Q21VydFLVH3TRQUabQu_ym0Zz7PgGX0-kHA/edit?usp=sharing"",""แผน!GX75"")"),80)</f>
        <v>80</v>
      </c>
      <c r="J540" s="181">
        <v>80</v>
      </c>
      <c r="K540" s="38">
        <f t="shared" ca="1" si="234"/>
        <v>100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IFERROR(__xludf.DUMMYFUNCTION("IMPORTRANGE(""https://docs.google.com/spreadsheets/d/1QqKyyYR6Q21VydFLVH3TRQUabQu_ym0Zz7PgGX0-kHA/edit?usp=sharing"",""แผน!GY75"")"),0)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IFERROR(__xludf.DUMMYFUNCTION("IMPORTRANGE(""https://docs.google.com/spreadsheets/d/1QqKyyYR6Q21VydFLVH3TRQUabQu_ym0Zz7PgGX0-kHA/edit?usp=sharing"",""แผน!GZ75"")"),80)</f>
        <v>80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60297</v>
      </c>
      <c r="J543" s="638">
        <f t="shared" si="235"/>
        <v>54686</v>
      </c>
      <c r="K543" s="639">
        <f t="shared" ca="1" si="234"/>
        <v>90.694396072773102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482874</v>
      </c>
      <c r="M544" s="154">
        <f t="shared" ca="1" si="236"/>
        <v>482874</v>
      </c>
      <c r="N544" s="154">
        <f t="shared" si="236"/>
        <v>258920.34000000003</v>
      </c>
      <c r="O544" s="154">
        <f t="shared" ref="O544:O549" ca="1" si="237">IF(L544&gt;0,N544*100/L544,0)</f>
        <v>53.620683656606076</v>
      </c>
      <c r="P544" s="154">
        <f t="shared" ref="P544:P549" ca="1" si="238">IF(M544&gt;0,N544*100/M544,0)</f>
        <v>53.620683656606076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482874</v>
      </c>
      <c r="M546" s="45">
        <f t="shared" ca="1" si="240"/>
        <v>482874</v>
      </c>
      <c r="N546" s="45">
        <f t="shared" si="240"/>
        <v>258920.34000000003</v>
      </c>
      <c r="O546" s="45">
        <f t="shared" ca="1" si="237"/>
        <v>53.620683656606076</v>
      </c>
      <c r="P546" s="45">
        <f t="shared" ca="1" si="238"/>
        <v>53.620683656606076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482874</v>
      </c>
      <c r="M547" s="38">
        <f t="shared" ca="1" si="241"/>
        <v>482874</v>
      </c>
      <c r="N547" s="38">
        <f t="shared" si="241"/>
        <v>258920.34000000003</v>
      </c>
      <c r="O547" s="38">
        <f t="shared" ca="1" si="237"/>
        <v>53.620683656606076</v>
      </c>
      <c r="P547" s="38">
        <f t="shared" ca="1" si="238"/>
        <v>53.620683656606076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IFERROR(__xludf.DUMMYFUNCTION("IMPORTRANGE(""https://docs.google.com/spreadsheets/d/1QqKyyYR6Q21VydFLVH3TRQUabQu_ym0Zz7PgGX0-kHA/edit?usp=sharing"",""แผน!HB75"")"),482874)</f>
        <v>482874</v>
      </c>
      <c r="M549" s="45">
        <f ca="1">L549</f>
        <v>482874</v>
      </c>
      <c r="N549" s="45">
        <f>N550+N551+N552+N553+N554</f>
        <v>258920.34000000003</v>
      </c>
      <c r="O549" s="45">
        <f t="shared" ca="1" si="237"/>
        <v>53.620683656606076</v>
      </c>
      <c r="P549" s="45">
        <f t="shared" ca="1" si="238"/>
        <v>53.620683656606076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51566.67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207353.67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IFERROR(__xludf.DUMMYFUNCTION("IMPORTRANGE(""https://docs.google.com/spreadsheets/d/1QqKyyYR6Q21VydFLVH3TRQUabQu_ym0Zz7PgGX0-kHA/edit?usp=sharing"",""แผน!HF75"")"),0)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60297</v>
      </c>
      <c r="J559" s="630">
        <f t="shared" si="245"/>
        <v>54686</v>
      </c>
      <c r="K559" s="631">
        <f t="shared" ref="K559:K561" ca="1" si="246">IF(I559&gt;0,J559*100/I559,0)</f>
        <v>90.694396072773102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IFERROR(__xludf.DUMMYFUNCTION("IMPORTRANGE(""https://docs.google.com/spreadsheets/d/1QqKyyYR6Q21VydFLVH3TRQUabQu_ym0Zz7PgGX0-kHA/edit?usp=sharing"",""แผน!HH75"")"),60297)</f>
        <v>60297</v>
      </c>
      <c r="J560" s="189">
        <f t="shared" ref="J560:J561" si="247">J562+J564+J566</f>
        <v>60294.057000000001</v>
      </c>
      <c r="K560" s="391">
        <f t="shared" ca="1" si="246"/>
        <v>99.99511916015723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IFERROR(__xludf.DUMMYFUNCTION("IMPORTRANGE(""https://docs.google.com/spreadsheets/d/1QqKyyYR6Q21VydFLVH3TRQUabQu_ym0Zz7PgGX0-kHA/edit?usp=sharing"",""แผน!HG75"")"),5074)</f>
        <v>5074</v>
      </c>
      <c r="J561" s="189">
        <f t="shared" si="247"/>
        <v>5074</v>
      </c>
      <c r="K561" s="391">
        <f t="shared" ca="1" si="246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54374.938999999998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4674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4746.7479999999996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304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1172.3699999999999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96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IFERROR(__xludf.DUMMYFUNCTION("IMPORTRANGE(""https://docs.google.com/spreadsheets/d/1QqKyyYR6Q21VydFLVH3TRQUabQu_ym0Zz7PgGX0-kHA/edit?usp=sharing"",""แผน!HH75"")"),60297)</f>
        <v>60297</v>
      </c>
      <c r="J568" s="190">
        <f t="shared" ref="J568:J569" si="248">J570+J572+J574</f>
        <v>60298</v>
      </c>
      <c r="K568" s="391">
        <f t="shared" ref="K568:K569" ca="1" si="249">IF(I568&gt;0,J568*100/I568,0)</f>
        <v>100.00165845730302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IFERROR(__xludf.DUMMYFUNCTION("IMPORTRANGE(""https://docs.google.com/spreadsheets/d/1QqKyyYR6Q21VydFLVH3TRQUabQu_ym0Zz7PgGX0-kHA/edit?usp=sharing"",""แผน!HG75"")"),5074)</f>
        <v>5074</v>
      </c>
      <c r="J569" s="190">
        <f t="shared" si="248"/>
        <v>5074</v>
      </c>
      <c r="K569" s="391">
        <f t="shared" ca="1" si="249"/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54686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4700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4461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277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1151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97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IFERROR(__xludf.DUMMYFUNCTION("IMPORTRANGE(""https://docs.google.com/spreadsheets/d/1QqKyyYR6Q21VydFLVH3TRQUabQu_ym0Zz7PgGX0-kHA/edit?usp=sharing"",""แผน!HH75"")"),60297)</f>
        <v>60297</v>
      </c>
      <c r="J576" s="190">
        <f t="shared" ref="J576:J577" si="250">J578+J580+J582+J588+J590</f>
        <v>54686</v>
      </c>
      <c r="K576" s="391">
        <f t="shared" ref="K576:K577" ca="1" si="251">IF(I576&gt;0,J576*100/I576,0)</f>
        <v>90.694396072773102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IFERROR(__xludf.DUMMYFUNCTION("IMPORTRANGE(""https://docs.google.com/spreadsheets/d/1QqKyyYR6Q21VydFLVH3TRQUabQu_ym0Zz7PgGX0-kHA/edit?usp=sharing"",""แผน!HG75"")"),5074)</f>
        <v>5074</v>
      </c>
      <c r="J577" s="190">
        <f t="shared" si="250"/>
        <v>4700</v>
      </c>
      <c r="K577" s="391">
        <f t="shared" ca="1" si="251"/>
        <v>92.629089475758775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54686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4700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3453.6</v>
      </c>
      <c r="J592" s="630">
        <f t="shared" si="253"/>
        <v>0</v>
      </c>
      <c r="K592" s="631">
        <f t="shared" ref="K592:K594" ca="1" si="254">IF(I592&gt;0,J592*100/I592,0)</f>
        <v>0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IFERROR(__xludf.DUMMYFUNCTION("IMPORTRANGE(""https://docs.google.com/spreadsheets/d/1QqKyyYR6Q21VydFLVH3TRQUabQu_ym0Zz7PgGX0-kHA/edit?usp=sharing"",""แผน!HJ75"")"),3453.6)</f>
        <v>3453.6</v>
      </c>
      <c r="J593" s="189">
        <f t="shared" ref="J593:J594" si="255">J595+J603+J609</f>
        <v>0</v>
      </c>
      <c r="K593" s="391">
        <f t="shared" ca="1" si="254"/>
        <v>0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IFERROR(__xludf.DUMMYFUNCTION("IMPORTRANGE(""https://docs.google.com/spreadsheets/d/1QqKyyYR6Q21VydFLVH3TRQUabQu_ym0Zz7PgGX0-kHA/edit?usp=sharing"",""แผน!HI75"")"),210)</f>
        <v>210</v>
      </c>
      <c r="J594" s="189">
        <f t="shared" si="255"/>
        <v>0</v>
      </c>
      <c r="K594" s="391">
        <f t="shared" ca="1" si="254"/>
        <v>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IFERROR(__xludf.DUMMYFUNCTION("IMPORTRANGE(""https://docs.google.com/spreadsheets/d/1QqKyyYR6Q21VydFLVH3TRQUabQu_ym0Zz7PgGX0-kHA/edit?usp=sharing"",""แผน!HL75"")"),61)</f>
        <v>61</v>
      </c>
      <c r="J620" s="675">
        <f t="shared" ref="J620:J621" si="260">J622+J624+J626</f>
        <v>0</v>
      </c>
      <c r="K620" s="676">
        <f t="shared" ref="K620:K621" ca="1" si="261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IFERROR(__xludf.DUMMYFUNCTION("IMPORTRANGE(""https://docs.google.com/spreadsheets/d/1QqKyyYR6Q21VydFLVH3TRQUabQu_ym0Zz7PgGX0-kHA/edit?usp=sharing"",""แผน!HK75"")"),9)</f>
        <v>9</v>
      </c>
      <c r="J621" s="675">
        <f t="shared" si="260"/>
        <v>0</v>
      </c>
      <c r="K621" s="676">
        <f t="shared" ca="1" si="261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50</v>
      </c>
      <c r="J628" s="686">
        <f t="shared" ca="1" si="262"/>
        <v>0</v>
      </c>
      <c r="K628" s="687">
        <f ca="1">IF(I628&gt;0,J628*100/I628,0)</f>
        <v>0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252900</v>
      </c>
      <c r="M629" s="191">
        <f t="shared" ca="1" si="263"/>
        <v>252900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ca="1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252900</v>
      </c>
      <c r="M631" s="45">
        <f t="shared" ca="1" si="266"/>
        <v>252900</v>
      </c>
      <c r="N631" s="45">
        <f t="shared" si="266"/>
        <v>0</v>
      </c>
      <c r="O631" s="45">
        <f t="shared" ca="1" si="264"/>
        <v>0</v>
      </c>
      <c r="P631" s="45">
        <f t="shared" ca="1" si="265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252900</v>
      </c>
      <c r="M632" s="38">
        <f t="shared" ca="1" si="267"/>
        <v>252900</v>
      </c>
      <c r="N632" s="38">
        <f t="shared" si="267"/>
        <v>0</v>
      </c>
      <c r="O632" s="38">
        <f t="shared" ca="1" si="264"/>
        <v>0</v>
      </c>
      <c r="P632" s="38">
        <f t="shared" ca="1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IFERROR(__xludf.DUMMYFUNCTION("IMPORTRANGE(""https://docs.google.com/spreadsheets/d/1QqKyyYR6Q21VydFLVH3TRQUabQu_ym0Zz7PgGX0-kHA/edit?usp=sharing"",""แผน!HN75"")"),252900)</f>
        <v>252900</v>
      </c>
      <c r="M634" s="45">
        <f ca="1">L634</f>
        <v>252900</v>
      </c>
      <c r="N634" s="45">
        <f>N635+N636+N637+N638</f>
        <v>0</v>
      </c>
      <c r="O634" s="45">
        <f t="shared" ca="1" si="264"/>
        <v>0</v>
      </c>
      <c r="P634" s="45">
        <f t="shared" ca="1" si="265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IFERROR(__xludf.DUMMYFUNCTION("IMPORTRANGE(""https://docs.google.com/spreadsheets/d/1QqKyyYR6Q21VydFLVH3TRQUabQu_ym0Zz7PgGX0-kHA/edit?usp=sharing"",""แผน!HQ75"")"),0)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IFERROR(__xludf.DUMMYFUNCTION("IMPORTRANGE(""https://docs.google.com/spreadsheets/d/1QqKyyYR6Q21VydFLVH3TRQUabQu_ym0Zz7PgGX0-kHA/edit?usp=sharing"",""แผน!HR75"")"),2)</f>
        <v>2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IFERROR(__xludf.DUMMYFUNCTION("IMPORTRANGE(""https://docs.google.com/spreadsheets/d/1QqKyyYR6Q21VydFLVH3TRQUabQu_ym0Zz7PgGX0-kHA/edit?usp=sharing"",""แผน!HR75"")"),2)</f>
        <v>2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IFERROR(__xludf.DUMMYFUNCTION("IMPORTRANGE(""https://docs.google.com/spreadsheets/d/1XWAQStnk-4SwqDmLtmXYiTMKHgktTP8We1SCoS47DrQ/edit?usp=sharing"",""จัดที่ดิน!AS75"")"),0)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IFERROR(__xludf.DUMMYFUNCTION("IMPORTRANGE(""https://docs.google.com/spreadsheets/d/1XWAQStnk-4SwqDmLtmXYiTMKHgktTP8We1SCoS47DrQ/edit?usp=sharing"",""จัดที่ดิน!AT75"")"),0)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IFERROR(__xludf.DUMMYFUNCTION("IMPORTRANGE(""https://docs.google.com/spreadsheets/d/1QqKyyYR6Q21VydFLVH3TRQUabQu_ym0Zz7PgGX0-kHA/edit?usp=sharing"",""แผน!HS75"")"),50)</f>
        <v>50</v>
      </c>
      <c r="J647" s="37">
        <f ca="1">IFERROR(__xludf.DUMMYFUNCTION("IMPORTRANGE(""https://docs.google.com/spreadsheets/d/1XWAQStnk-4SwqDmLtmXYiTMKHgktTP8We1SCoS47DrQ/edit?usp=sharing"",""จัดที่ดิน!AU75"")"),0)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IFERROR(__xludf.DUMMYFUNCTION("IMPORTRANGE(""https://docs.google.com/spreadsheets/d/1XWAQStnk-4SwqDmLtmXYiTMKHgktTP8We1SCoS47DrQ/edit?usp=sharing"",""จัดที่ดิน!AV75"")"),0)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IFERROR(__xludf.DUMMYFUNCTION("IMPORTRANGE(""https://docs.google.com/spreadsheets/d/1QqKyyYR6Q21VydFLVH3TRQUabQu_ym0Zz7PgGX0-kHA/edit?usp=sharing"",""แผน!HS75"")"),50)</f>
        <v>50</v>
      </c>
      <c r="J649" s="37">
        <f ca="1">IFERROR(__xludf.DUMMYFUNCTION("IMPORTRANGE(""https://docs.google.com/spreadsheets/d/1XWAQStnk-4SwqDmLtmXYiTMKHgktTP8We1SCoS47DrQ/edit?usp=sharing"",""จัดที่ดิน!AW75"")"),0)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IFERROR(__xludf.DUMMYFUNCTION("IMPORTRANGE(""https://docs.google.com/spreadsheets/d/1XWAQStnk-4SwqDmLtmXYiTMKHgktTP8We1SCoS47DrQ/edit?usp=sharing"",""จัดที่ดิน!AX75"")"),0)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IFERROR(__xludf.DUMMYFUNCTION("IMPORTRANGE(""https://docs.google.com/spreadsheets/d/1QqKyyYR6Q21VydFLVH3TRQUabQu_ym0Zz7PgGX0-kHA/edit?usp=sharing"",""แผน!HS75"")"),50)</f>
        <v>50</v>
      </c>
      <c r="J651" s="37">
        <f ca="1">IFERROR(__xludf.DUMMYFUNCTION("IMPORTRANGE(""https://docs.google.com/spreadsheets/d/1XWAQStnk-4SwqDmLtmXYiTMKHgktTP8We1SCoS47DrQ/edit?usp=sharing"",""จัดที่ดิน!AY75"")"),0)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IFERROR(__xludf.DUMMYFUNCTION("IMPORTRANGE(""https://docs.google.com/spreadsheets/d/1XWAQStnk-4SwqDmLtmXYiTMKHgktTP8We1SCoS47DrQ/edit?usp=sharing"",""จัดที่ดิน!AZ75"")"),0)</f>
        <v>0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 hidden="1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 hidden="1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 hidden="1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 hidden="1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IFERROR(__xludf.DUMMYFUNCTION("IMPORTRANGE(""https://docs.google.com/spreadsheets/d/1QqKyyYR6Q21VydFLVH3TRQUabQu_ym0Zz7PgGX0-kHA/edit?usp=sharing"",""แผน!HV75"")"),0)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 hidden="1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 hidden="1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 hidden="1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 hidden="1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 hidden="1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 hidden="1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 hidden="1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IFERROR(__xludf.DUMMYFUNCTION("IMPORTRANGE(""https://docs.google.com/spreadsheets/d/1QqKyyYR6Q21VydFLVH3TRQUabQu_ym0Zz7PgGX0-kHA/edit?usp=sharing"",""แผน!IA75"")"),0)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 hidden="1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IFERROR(__xludf.DUMMYFUNCTION("IMPORTRANGE(""https://docs.google.com/spreadsheets/d/1QqKyyYR6Q21VydFLVH3TRQUabQu_ym0Zz7PgGX0-kHA/edit?usp=sharing"",""แผน!HZ75"")"),0)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 hidden="1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IFERROR(__xludf.DUMMYFUNCTION("IMPORTRANGE(""https://docs.google.com/spreadsheets/d/1QqKyyYR6Q21VydFLVH3TRQUabQu_ym0Zz7PgGX0-kHA/edit?usp=sharing"",""แผน!HZ75"")"),0)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 hidden="1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 hidden="1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 hidden="1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 hidden="1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 hidden="1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 hidden="1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 hidden="1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IFERROR(__xludf.DUMMYFUNCTION("IMPORTRANGE(""https://docs.google.com/spreadsheets/d/1QqKyyYR6Q21VydFLVH3TRQUabQu_ym0Zz7PgGX0-kHA/edit?usp=sharing"",""แผน!IB75"")"),0)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 hidden="1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 hidden="1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 hidden="1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 hidden="1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 hidden="1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 hidden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 hidden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 hidden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IFERROR(__xludf.DUMMYFUNCTION("IMPORTRANGE(""https://docs.google.com/spreadsheets/d/1QqKyyYR6Q21VydFLVH3TRQUabQu_ym0Zz7PgGX0-kHA/edit?usp=sharing"",""แผน!HW75"")"),0)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 hidden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 hidden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 hidden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 hidden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 hidden="1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 hidden="1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 hidden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IFERROR(__xludf.DUMMYFUNCTION("IMPORTRANGE(""https://docs.google.com/spreadsheets/d/1QqKyyYR6Q21VydFLVH3TRQUabQu_ym0Zz7PgGX0-kHA/edit?usp=sharing"",""แผน!IC75"")"),0)</f>
        <v>0</v>
      </c>
      <c r="J699" s="37">
        <f ca="1">IFERROR(__xludf.DUMMYFUNCTION("IMPORTRANGE(""https://docs.google.com/spreadsheets/d/1XWAQStnk-4SwqDmLtmXYiTMKHgktTP8We1SCoS47DrQ/edit?usp=sharing"",""จัดที่ดิน!BB75"")"),0)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 hidden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IFERROR(__xludf.DUMMYFUNCTION("IMPORTRANGE(""https://docs.google.com/spreadsheets/d/1QqKyyYR6Q21VydFLVH3TRQUabQu_ym0Zz7PgGX0-kHA/edit?usp=sharing"",""แผน!ID75"")"),0)</f>
        <v>0</v>
      </c>
      <c r="J700" s="37">
        <f ca="1">IFERROR(__xludf.DUMMYFUNCTION("IMPORTRANGE(""https://docs.google.com/spreadsheets/d/1XWAQStnk-4SwqDmLtmXYiTMKHgktTP8We1SCoS47DrQ/edit?usp=sharing"",""จัดที่ดิน!BD75"")"),0)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 hidden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IFERROR(__xludf.DUMMYFUNCTION("IMPORTRANGE(""https://docs.google.com/spreadsheets/d/1QqKyyYR6Q21VydFLVH3TRQUabQu_ym0Zz7PgGX0-kHA/edit?usp=sharing"",""แผน!IE75"")"),0)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 hidden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 hidden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 hidden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IFERROR(__xludf.DUMMYFUNCTION("IMPORTRANGE(""https://docs.google.com/spreadsheets/d/1QqKyyYR6Q21VydFLVH3TRQUabQu_ym0Zz7PgGX0-kHA/edit?usp=sharing"",""แผน!IF75"")"),0)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 hidden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 hidden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 hidden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IFERROR(__xludf.DUMMYFUNCTION("IMPORTRANGE(""https://docs.google.com/spreadsheets/d/1QqKyyYR6Q21VydFLVH3TRQUabQu_ym0Zz7PgGX0-kHA/edit?usp=sharing"",""แผน!IG75"")"),0)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 hidden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IFERROR(__xludf.DUMMYFUNCTION("IMPORTRANGE(""https://docs.google.com/spreadsheets/d/1QqKyyYR6Q21VydFLVH3TRQUabQu_ym0Zz7PgGX0-kHA/edit?usp=sharing"",""แผน!IH75"")"),0)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 hidden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 hidden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 hidden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 hidden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 hidden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 hidden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 hidden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 hidden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 hidden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 hidden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IFERROR(__xludf.DUMMYFUNCTION("IMPORTRANGE(""https://docs.google.com/spreadsheets/d/1XWAQStnk-4SwqDmLtmXYiTMKHgktTP8We1SCoS47DrQ/edit?usp=sharing"",""จัดที่ดิน!BF75"")"),0)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 hidden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IFERROR(__xludf.DUMMYFUNCTION("IMPORTRANGE(""https://docs.google.com/spreadsheets/d/1XWAQStnk-4SwqDmLtmXYiTMKHgktTP8We1SCoS47DrQ/edit?usp=sharing"",""จัดที่ดิน!BG75"")"),0)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 hidden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IFERROR(__xludf.DUMMYFUNCTION("IMPORTRANGE(""https://docs.google.com/spreadsheets/d/1QqKyyYR6Q21VydFLVH3TRQUabQu_ym0Zz7PgGX0-kHA/edit?usp=sharing"",""แผน!II75"")"),0)</f>
        <v>0</v>
      </c>
      <c r="J720" s="37">
        <f ca="1">IFERROR(__xludf.DUMMYFUNCTION("IMPORTRANGE(""https://docs.google.com/spreadsheets/d/1XWAQStnk-4SwqDmLtmXYiTMKHgktTP8We1SCoS47DrQ/edit?usp=sharing"",""จัดที่ดิน!BH75"")"),0)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 hidden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IFERROR(__xludf.DUMMYFUNCTION("IMPORTRANGE(""https://docs.google.com/spreadsheets/d/1QqKyyYR6Q21VydFLVH3TRQUabQu_ym0Zz7PgGX0-kHA/edit?usp=sharing"",""แผน!IJ75"")"),0)</f>
        <v>0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 hidden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IFERROR(__xludf.DUMMYFUNCTION("IMPORTRANGE(""https://docs.google.com/spreadsheets/d/1QqKyyYR6Q21VydFLVH3TRQUabQu_ym0Zz7PgGX0-kHA/edit?usp=sharing"",""แผน!IK75"")"),0)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 hidden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IFERROR(__xludf.DUMMYFUNCTION("IMPORTRANGE(""https://docs.google.com/spreadsheets/d/1QqKyyYR6Q21VydFLVH3TRQUabQu_ym0Zz7PgGX0-kHA/edit?usp=sharing"",""แผน!IL75"")"),0)</f>
        <v>0</v>
      </c>
      <c r="J723" s="37">
        <f ca="1">IFERROR(__xludf.DUMMYFUNCTION("IMPORTRANGE(""https://docs.google.com/spreadsheets/d/1XWAQStnk-4SwqDmLtmXYiTMKHgktTP8We1SCoS47DrQ/edit?usp=sharing"",""จัดที่ดิน!BM75"")"),0)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 hidden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IFERROR(__xludf.DUMMYFUNCTION("IMPORTRANGE(""https://docs.google.com/spreadsheets/d/1XWAQStnk-4SwqDmLtmXYiTMKHgktTP8We1SCoS47DrQ/edit?usp=sharing"",""จัดที่ดิน!BN75"")"),0)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 hidden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IFERROR(__xludf.DUMMYFUNCTION("IMPORTRANGE(""https://docs.google.com/spreadsheets/d/1QqKyyYR6Q21VydFLVH3TRQUabQu_ym0Zz7PgGX0-kHA/edit?usp=sharing"",""แผน!IM75"")"),0)</f>
        <v>0</v>
      </c>
      <c r="J725" s="37">
        <f ca="1">IFERROR(__xludf.DUMMYFUNCTION("IMPORTRANGE(""https://docs.google.com/spreadsheets/d/1XWAQStnk-4SwqDmLtmXYiTMKHgktTP8We1SCoS47DrQ/edit?usp=sharing"",""จัดที่ดิน!BO75"")"),0)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 hidden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IFERROR(__xludf.DUMMYFUNCTION("IMPORTRANGE(""https://docs.google.com/spreadsheets/d/1QqKyyYR6Q21VydFLVH3TRQUabQu_ym0Zz7PgGX0-kHA/edit?usp=sharing"",""แผน!IN75"")"),0)</f>
        <v>0</v>
      </c>
      <c r="J726" s="37">
        <f ca="1">IFERROR(__xludf.DUMMYFUNCTION("IMPORTRANGE(""https://docs.google.com/spreadsheets/d/1XWAQStnk-4SwqDmLtmXYiTMKHgktTP8We1SCoS47DrQ/edit?usp=sharing"",""จัดที่ดิน!BR75"")"),0)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 hidden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IFERROR(__xludf.DUMMYFUNCTION("IMPORTRANGE(""https://docs.google.com/spreadsheets/d/1XWAQStnk-4SwqDmLtmXYiTMKHgktTP8We1SCoS47DrQ/edit?usp=sharing"",""จัดที่ดิน!BS75"")"),0)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 hidden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IFERROR(__xludf.DUMMYFUNCTION("IMPORTRANGE(""https://docs.google.com/spreadsheets/d/1QqKyyYR6Q21VydFLVH3TRQUabQu_ym0Zz7PgGX0-kHA/edit?usp=sharing"",""แผน!IO75"")"),0)</f>
        <v>0</v>
      </c>
      <c r="J728" s="37">
        <f ca="1">IFERROR(__xludf.DUMMYFUNCTION("IMPORTRANGE(""https://docs.google.com/spreadsheets/d/1XWAQStnk-4SwqDmLtmXYiTMKHgktTP8We1SCoS47DrQ/edit?usp=sharing"",""จัดที่ดิน!BT75"")"),0)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 hidden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IFERROR(__xludf.DUMMYFUNCTION("IMPORTRANGE(""https://docs.google.com/spreadsheets/d/1QqKyyYR6Q21VydFLVH3TRQUabQu_ym0Zz7PgGX0-kHA/edit?usp=sharing"",""แผน!IP75"")"),0)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 hidden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 hidden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 hidden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 hidden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 hidden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 hidden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IFERROR(__xludf.DUMMYFUNCTION("IMPORTRANGE(""https://docs.google.com/spreadsheets/d/1QqKyyYR6Q21VydFLVH3TRQUabQu_ym0Zz7PgGX0-kHA/edit?usp=sharing"",""แผน!JJ75"")"),0)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IFERROR(__xludf.DUMMYFUNCTION("IMPORTRANGE(""https://docs.google.com/spreadsheets/d/1QqKyyYR6Q21VydFLVH3TRQUabQu_ym0Zz7PgGX0-kHA/edit?usp=sharing"",""แผน!JN75"")"),0)</f>
        <v>0</v>
      </c>
      <c r="J800" s="161">
        <f ca="1">IFERROR(__xludf.DUMMYFUNCTION("IMPORTRANGE(""https://docs.google.com/spreadsheets/d/1MaWodYyGHDf7siQLGxnXhG4mBNTNIuy296niS2xXulU/edit?usp=sharing"",""RTK!H75"")"),0)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IFERROR(__xludf.DUMMYFUNCTION("IMPORTRANGE(""https://docs.google.com/spreadsheets/d/1MaWodYyGHDf7siQLGxnXhG4mBNTNIuy296niS2xXulU/edit?usp=sharing"",""RTK!I75"")"),0)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333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37">
        <f ca="1">IFERROR(__xludf.DUMMYFUNCTION("IMPORTRANGE(""https://docs.google.com/spreadsheets/d/19vJNZY_5yjcGF2XGBMNZRCAIB0Kwfpjp8YEOfu-bneM/edit?usp=sharing"",""งานกองทุน!F75"")"),293570.89)</f>
        <v>293570.89</v>
      </c>
      <c r="K821" s="38">
        <f t="shared" ref="K821:K828" ca="1" si="335">IF(I821&gt;0,J821*100/I821,0)</f>
        <v>186.62907226745023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IFERROR(__xludf.DUMMYFUNCTION("IMPORTRANGE(""https://docs.google.com/spreadsheets/d/19vJNZY_5yjcGF2XGBMNZRCAIB0Kwfpjp8YEOfu-bneM/edit?usp=sharing"",""งานกองทุน!C75"")"),18)</f>
        <v>18</v>
      </c>
      <c r="J822" s="37">
        <f ca="1">IFERROR(__xludf.DUMMYFUNCTION("IMPORTRANGE(""https://docs.google.com/spreadsheets/d/19vJNZY_5yjcGF2XGBMNZRCAIB0Kwfpjp8YEOfu-bneM/edit?usp=sharing"",""งานกองทุน!E75"")"),25)</f>
        <v>25</v>
      </c>
      <c r="K822" s="38">
        <f t="shared" ca="1" si="335"/>
        <v>138.88888888888889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37">
        <f ca="1">IFERROR(__xludf.DUMMYFUNCTION("IMPORTRANGE(""https://docs.google.com/spreadsheets/d/19vJNZY_5yjcGF2XGBMNZRCAIB0Kwfpjp8YEOfu-bneM/edit?usp=sharing"",""งานกองทุน!K75"")"),1395283.01)</f>
        <v>1395283.01</v>
      </c>
      <c r="K823" s="38">
        <f t="shared" ca="1" si="335"/>
        <v>183.14198156235386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IFERROR(__xludf.DUMMYFUNCTION("IMPORTRANGE(""https://docs.google.com/spreadsheets/d/19vJNZY_5yjcGF2XGBMNZRCAIB0Kwfpjp8YEOfu-bneM/edit?usp=sharing"",""งานกองทุน!H75"")"),26)</f>
        <v>26</v>
      </c>
      <c r="J824" s="37">
        <f ca="1">IFERROR(__xludf.DUMMYFUNCTION("IMPORTRANGE(""https://docs.google.com/spreadsheets/d/19vJNZY_5yjcGF2XGBMNZRCAIB0Kwfpjp8YEOfu-bneM/edit?usp=sharing"",""งานกองทุน!J75"")"),126)</f>
        <v>126</v>
      </c>
      <c r="K824" s="38">
        <f t="shared" ca="1" si="335"/>
        <v>484.61538461538464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IFERROR(__xludf.DUMMYFUNCTION("IMPORTRANGE(""https://docs.google.com/spreadsheets/d/19vJNZY_5yjcGF2XGBMNZRCAIB0Kwfpjp8YEOfu-bneM/edit?usp=sharing"",""งานกองทุน!N75"")"),0)</f>
        <v>0</v>
      </c>
      <c r="J825" s="37">
        <f ca="1">IFERROR(__xludf.DUMMYFUNCTION("IMPORTRANGE(""https://docs.google.com/spreadsheets/d/19vJNZY_5yjcGF2XGBMNZRCAIB0Kwfpjp8YEOfu-bneM/edit?usp=sharing"",""งานกองทุน!P75"")"),23029.74)</f>
        <v>23029.74</v>
      </c>
      <c r="K825" s="38">
        <f t="shared" ca="1" si="335"/>
        <v>0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IFERROR(__xludf.DUMMYFUNCTION("IMPORTRANGE(""https://docs.google.com/spreadsheets/d/19vJNZY_5yjcGF2XGBMNZRCAIB0Kwfpjp8YEOfu-bneM/edit?usp=sharing"",""งานกองทุน!M75"")"),0)</f>
        <v>0</v>
      </c>
      <c r="J826" s="37">
        <f ca="1">IFERROR(__xludf.DUMMYFUNCTION("IMPORTRANGE(""https://docs.google.com/spreadsheets/d/19vJNZY_5yjcGF2XGBMNZRCAIB0Kwfpjp8YEOfu-bneM/edit?usp=sharing"",""งานกองทุน!O75"")"),14)</f>
        <v>14</v>
      </c>
      <c r="K826" s="38">
        <f t="shared" ca="1" si="335"/>
        <v>0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IFERROR(__xludf.DUMMYFUNCTION("IMPORTRANGE(""https://docs.google.com/spreadsheets/d/19vJNZY_5yjcGF2XGBMNZRCAIB0Kwfpjp8YEOfu-bneM/edit?usp=sharing"",""งานกองทุน!S75"")"),280000)</f>
        <v>280000</v>
      </c>
      <c r="J827" s="37">
        <f ca="1">IFERROR(__xludf.DUMMYFUNCTION("IMPORTRANGE(""https://docs.google.com/spreadsheets/d/19vJNZY_5yjcGF2XGBMNZRCAIB0Kwfpjp8YEOfu-bneM/edit?usp=sharing"",""งานกองทุน!U75"")"),200000)</f>
        <v>200000</v>
      </c>
      <c r="K827" s="38">
        <f t="shared" ca="1" si="335"/>
        <v>71.428571428571431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IFERROR(__xludf.DUMMYFUNCTION("IMPORTRANGE(""https://docs.google.com/spreadsheets/d/19vJNZY_5yjcGF2XGBMNZRCAIB0Kwfpjp8YEOfu-bneM/edit?usp=sharing"",""งานกองทุน!R75"")"),11)</f>
        <v>11</v>
      </c>
      <c r="J828" s="365">
        <f ca="1">IFERROR(__xludf.DUMMYFUNCTION("IMPORTRANGE(""https://docs.google.com/spreadsheets/d/19vJNZY_5yjcGF2XGBMNZRCAIB0Kwfpjp8YEOfu-bneM/edit?usp=sharing"",""งานกองทุน!T75"")"),4)</f>
        <v>4</v>
      </c>
      <c r="K828" s="475">
        <f t="shared" ca="1" si="335"/>
        <v>36.363636363636367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517DF-2344-4692-A45D-C56BB40712B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334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5726081</v>
      </c>
      <c r="M8" s="22">
        <f t="shared" ca="1" si="0"/>
        <v>6351109</v>
      </c>
      <c r="N8" s="22">
        <f t="shared" ca="1" si="0"/>
        <v>5285588.79</v>
      </c>
      <c r="O8" s="22">
        <f t="shared" ref="O8:O16" ca="1" si="1">IF(L8&gt;0,N8*100/L8,0)</f>
        <v>92.307265475287551</v>
      </c>
      <c r="P8" s="22">
        <f t="shared" ref="P8:P16" ca="1" si="2">IF(M8&gt;0,N8*100/M8,0)</f>
        <v>83.223084188918818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5726081</v>
      </c>
      <c r="M10" s="30">
        <f t="shared" ca="1" si="3"/>
        <v>6351109</v>
      </c>
      <c r="N10" s="30">
        <f t="shared" ca="1" si="3"/>
        <v>5285588.79</v>
      </c>
      <c r="O10" s="30">
        <f t="shared" ca="1" si="1"/>
        <v>92.307265475287551</v>
      </c>
      <c r="P10" s="30">
        <f t="shared" ca="1" si="2"/>
        <v>83.223084188918818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5381281</v>
      </c>
      <c r="M11" s="38">
        <f t="shared" ca="1" si="4"/>
        <v>5983309</v>
      </c>
      <c r="N11" s="38">
        <f t="shared" ca="1" si="4"/>
        <v>4940788.79</v>
      </c>
      <c r="O11" s="38">
        <f t="shared" ca="1" si="1"/>
        <v>91.814361487534285</v>
      </c>
      <c r="P11" s="38">
        <f t="shared" ca="1" si="2"/>
        <v>82.576193039670855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5381281</v>
      </c>
      <c r="M13" s="45">
        <f t="shared" ca="1" si="5"/>
        <v>5983309</v>
      </c>
      <c r="N13" s="45">
        <f t="shared" ca="1" si="5"/>
        <v>4940788.79</v>
      </c>
      <c r="O13" s="45">
        <f t="shared" ca="1" si="1"/>
        <v>91.814361487534285</v>
      </c>
      <c r="P13" s="45">
        <f t="shared" ca="1" si="2"/>
        <v>82.576193039670855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344800</v>
      </c>
      <c r="M14" s="38">
        <f t="shared" ca="1" si="6"/>
        <v>367800</v>
      </c>
      <c r="N14" s="38">
        <f t="shared" ca="1" si="6"/>
        <v>344800</v>
      </c>
      <c r="O14" s="38">
        <f t="shared" ca="1" si="1"/>
        <v>100</v>
      </c>
      <c r="P14" s="38">
        <f t="shared" ca="1" si="2"/>
        <v>93.74660141381186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367800</v>
      </c>
      <c r="N16" s="52">
        <f t="shared" ca="1" si="7"/>
        <v>344800</v>
      </c>
      <c r="O16" s="52">
        <f t="shared" ca="1" si="1"/>
        <v>100</v>
      </c>
      <c r="P16" s="52">
        <f t="shared" ca="1" si="2"/>
        <v>93.74660141381186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4231273</v>
      </c>
      <c r="N18" s="22">
        <f t="shared" ca="1" si="8"/>
        <v>3512536.74</v>
      </c>
      <c r="O18" s="22">
        <f t="shared" ref="O18:O26" ca="1" si="9">IF(L18&gt;0,N18*100/L18,0)</f>
        <v>97.401500452686932</v>
      </c>
      <c r="P18" s="22">
        <f t="shared" ref="P18:P26" ca="1" si="10">IF(M18&gt;0,N18*100/M18,0)</f>
        <v>83.013711003757024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4231273</v>
      </c>
      <c r="N20" s="30">
        <f t="shared" ca="1" si="11"/>
        <v>3512536.74</v>
      </c>
      <c r="O20" s="30">
        <f t="shared" ca="1" si="9"/>
        <v>97.401500452686932</v>
      </c>
      <c r="P20" s="30">
        <f t="shared" ca="1" si="10"/>
        <v>83.013711003757024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3261445</v>
      </c>
      <c r="M21" s="38">
        <f t="shared" ca="1" si="12"/>
        <v>3863473</v>
      </c>
      <c r="N21" s="38">
        <f t="shared" ca="1" si="12"/>
        <v>3167736.74</v>
      </c>
      <c r="O21" s="38">
        <f t="shared" ca="1" si="9"/>
        <v>97.126787052978045</v>
      </c>
      <c r="P21" s="38">
        <f t="shared" ca="1" si="10"/>
        <v>81.991947141859157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3261445</v>
      </c>
      <c r="M23" s="45">
        <f t="shared" ca="1" si="13"/>
        <v>3863473</v>
      </c>
      <c r="N23" s="45">
        <f t="shared" ca="1" si="13"/>
        <v>3167736.74</v>
      </c>
      <c r="O23" s="45">
        <f t="shared" ca="1" si="9"/>
        <v>97.126787052978045</v>
      </c>
      <c r="P23" s="45">
        <f t="shared" ca="1" si="10"/>
        <v>81.991947141859157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344800</v>
      </c>
      <c r="M24" s="38">
        <f t="shared" ca="1" si="14"/>
        <v>367800</v>
      </c>
      <c r="N24" s="38">
        <f t="shared" ca="1" si="14"/>
        <v>344800</v>
      </c>
      <c r="O24" s="38">
        <f t="shared" ca="1" si="9"/>
        <v>100</v>
      </c>
      <c r="P24" s="38">
        <f t="shared" ca="1" si="10"/>
        <v>93.74660141381186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367800</v>
      </c>
      <c r="N26" s="52">
        <f t="shared" ca="1" si="15"/>
        <v>344800</v>
      </c>
      <c r="O26" s="52">
        <f t="shared" ca="1" si="9"/>
        <v>100</v>
      </c>
      <c r="P26" s="52">
        <f t="shared" ca="1" si="10"/>
        <v>93.74660141381186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2119836</v>
      </c>
      <c r="M28" s="22">
        <f t="shared" ca="1" si="16"/>
        <v>2119836</v>
      </c>
      <c r="N28" s="22">
        <f t="shared" si="16"/>
        <v>1773052.05</v>
      </c>
      <c r="O28" s="22">
        <f t="shared" ref="O28:O37" ca="1" si="17">IF(L28&gt;0,N28*100/L28,0)</f>
        <v>83.641001001964298</v>
      </c>
      <c r="P28" s="22">
        <f t="shared" ref="P28:P37" ca="1" si="18">IF(M28&gt;0,N28*100/M28,0)</f>
        <v>83.641001001964298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2119836</v>
      </c>
      <c r="M30" s="30">
        <f t="shared" ca="1" si="19"/>
        <v>2119836</v>
      </c>
      <c r="N30" s="30">
        <f t="shared" si="19"/>
        <v>1773052.05</v>
      </c>
      <c r="O30" s="30">
        <f t="shared" ca="1" si="17"/>
        <v>83.641001001964298</v>
      </c>
      <c r="P30" s="30">
        <f t="shared" ca="1" si="18"/>
        <v>83.641001001964298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2119836</v>
      </c>
      <c r="M31" s="38">
        <f t="shared" ca="1" si="20"/>
        <v>2119836</v>
      </c>
      <c r="N31" s="38">
        <f t="shared" si="20"/>
        <v>1773052.05</v>
      </c>
      <c r="O31" s="38">
        <f t="shared" ca="1" si="17"/>
        <v>83.641001001964298</v>
      </c>
      <c r="P31" s="38">
        <f t="shared" ca="1" si="18"/>
        <v>83.641001001964298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2119836</v>
      </c>
      <c r="M33" s="45">
        <f t="shared" ca="1" si="21"/>
        <v>2119836</v>
      </c>
      <c r="N33" s="45">
        <f t="shared" si="21"/>
        <v>1773052.05</v>
      </c>
      <c r="O33" s="45">
        <f t="shared" ca="1" si="17"/>
        <v>83.641001001964298</v>
      </c>
      <c r="P33" s="45">
        <f t="shared" ca="1" si="18"/>
        <v>83.641001001964298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3606245</v>
      </c>
      <c r="M37" s="792">
        <f t="shared" ca="1" si="24"/>
        <v>4231273</v>
      </c>
      <c r="N37" s="792">
        <f t="shared" ca="1" si="24"/>
        <v>3512536.74</v>
      </c>
      <c r="O37" s="792">
        <f t="shared" ca="1" si="17"/>
        <v>97.401500452686932</v>
      </c>
      <c r="P37" s="792">
        <f t="shared" ca="1" si="18"/>
        <v>83.013711003757024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628460</v>
      </c>
      <c r="N41" s="85">
        <f t="shared" ca="1" si="25"/>
        <v>527567.5</v>
      </c>
      <c r="O41" s="85">
        <f t="shared" ref="O41:O49" ca="1" si="26">IF(L41&gt;0,N41*100/L41,0)</f>
        <v>88.045310413885176</v>
      </c>
      <c r="P41" s="85">
        <f t="shared" ref="P41:P49" ca="1" si="27">IF(M41&gt;0,N41*100/M41,0)</f>
        <v>83.946074531394203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628460</v>
      </c>
      <c r="N43" s="92">
        <f t="shared" ca="1" si="28"/>
        <v>527567.5</v>
      </c>
      <c r="O43" s="92">
        <f t="shared" ca="1" si="26"/>
        <v>88.045310413885176</v>
      </c>
      <c r="P43" s="92">
        <f t="shared" ca="1" si="27"/>
        <v>83.946074531394203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599200</v>
      </c>
      <c r="M44" s="38">
        <f t="shared" ca="1" si="29"/>
        <v>628460</v>
      </c>
      <c r="N44" s="38">
        <f t="shared" ca="1" si="29"/>
        <v>527567.5</v>
      </c>
      <c r="O44" s="38">
        <f t="shared" ca="1" si="26"/>
        <v>88.045310413885176</v>
      </c>
      <c r="P44" s="38">
        <f t="shared" ca="1" si="27"/>
        <v>83.946074531394203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IFERROR(__xludf.DUMMYFUNCTION("IMPORTRANGE(""https://docs.google.com/spreadsheets/d/1MeEWN-I1oV_STSDYn1IFDPWt_1FKiwhDph83XaGc0o0/edit?usp=sharing"",""งบพรบ!M76"")"),599200)</f>
        <v>599200</v>
      </c>
      <c r="M46" s="45">
        <f ca="1">IFERROR(__xludf.DUMMYFUNCTION("IMPORTRANGE(""https://docs.google.com/spreadsheets/d/1MeEWN-I1oV_STSDYn1IFDPWt_1FKiwhDph83XaGc0o0/edit?usp=sharing"",""งบพรบ!R76"")"),628460)</f>
        <v>628460</v>
      </c>
      <c r="N46" s="45">
        <f ca="1">IFERROR(__xludf.DUMMYFUNCTION("IMPORTRANGE(""https://docs.google.com/spreadsheets/d/1MeEWN-I1oV_STSDYn1IFDPWt_1FKiwhDph83XaGc0o0/edit?usp=sharing"",""งบพรบ!T76"")"),527567.5)</f>
        <v>527567.5</v>
      </c>
      <c r="O46" s="45">
        <f t="shared" ca="1" si="26"/>
        <v>88.045310413885176</v>
      </c>
      <c r="P46" s="45">
        <f t="shared" ca="1" si="27"/>
        <v>83.946074531394203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726500</v>
      </c>
      <c r="M53" s="115">
        <f t="shared" ca="1" si="31"/>
        <v>759758</v>
      </c>
      <c r="N53" s="115">
        <f t="shared" ca="1" si="31"/>
        <v>720456.09</v>
      </c>
      <c r="O53" s="115">
        <f t="shared" ref="O53:O61" ca="1" si="32">IF(L53&gt;0,N53*100/L53,0)</f>
        <v>99.168078458362004</v>
      </c>
      <c r="P53" s="115">
        <f t="shared" ref="P53:P61" ca="1" si="33">IF(M53&gt;0,N53*100/M53,0)</f>
        <v>94.827048876089492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726500</v>
      </c>
      <c r="M55" s="122">
        <f t="shared" ca="1" si="34"/>
        <v>759758</v>
      </c>
      <c r="N55" s="122">
        <f t="shared" ca="1" si="34"/>
        <v>720456.09</v>
      </c>
      <c r="O55" s="122">
        <f t="shared" ca="1" si="32"/>
        <v>99.168078458362004</v>
      </c>
      <c r="P55" s="122">
        <f t="shared" ca="1" si="33"/>
        <v>94.827048876089492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686700</v>
      </c>
      <c r="M56" s="38">
        <f t="shared" ca="1" si="35"/>
        <v>696958</v>
      </c>
      <c r="N56" s="38">
        <f t="shared" ca="1" si="35"/>
        <v>680656.09</v>
      </c>
      <c r="O56" s="38">
        <f t="shared" ca="1" si="32"/>
        <v>99.119861657201113</v>
      </c>
      <c r="P56" s="38">
        <f t="shared" ca="1" si="33"/>
        <v>97.660991049675872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IFERROR(__xludf.DUMMYFUNCTION("IMPORTRANGE(""https://docs.google.com/spreadsheets/d/1MeEWN-I1oV_STSDYn1IFDPWt_1FKiwhDph83XaGc0o0/edit?usp=sharing"",""งบพรบ!W76"")"),686700)</f>
        <v>686700</v>
      </c>
      <c r="M58" s="45">
        <f ca="1">IFERROR(__xludf.DUMMYFUNCTION("IMPORTRANGE(""https://docs.google.com/spreadsheets/d/1MeEWN-I1oV_STSDYn1IFDPWt_1FKiwhDph83XaGc0o0/edit?usp=sharing"",""งบพรบ!AB76"")"),696958)</f>
        <v>696958</v>
      </c>
      <c r="N58" s="45">
        <f ca="1">IFERROR(__xludf.DUMMYFUNCTION("IMPORTRANGE(""https://docs.google.com/spreadsheets/d/1MeEWN-I1oV_STSDYn1IFDPWt_1FKiwhDph83XaGc0o0/edit?usp=sharing"",""งบพรบ!AD76"")"),680656.09)</f>
        <v>680656.09</v>
      </c>
      <c r="O58" s="45">
        <f t="shared" ca="1" si="32"/>
        <v>99.119861657201113</v>
      </c>
      <c r="P58" s="45">
        <f t="shared" ca="1" si="33"/>
        <v>97.660991049675872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39800</v>
      </c>
      <c r="M59" s="38">
        <f t="shared" ca="1" si="36"/>
        <v>62800</v>
      </c>
      <c r="N59" s="38">
        <f t="shared" ca="1" si="36"/>
        <v>39800</v>
      </c>
      <c r="O59" s="38">
        <f t="shared" ca="1" si="32"/>
        <v>100</v>
      </c>
      <c r="P59" s="38">
        <f t="shared" ca="1" si="33"/>
        <v>63.375796178343947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IFERROR(__xludf.DUMMYFUNCTION("IMPORTRANGE(""https://docs.google.com/spreadsheets/d/1MeEWN-I1oV_STSDYn1IFDPWt_1FKiwhDph83XaGc0o0/edit?usp=sharing"",""งบพรบ!AC76"")"),62800)</f>
        <v>62800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63.375796178343947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30</v>
      </c>
      <c r="J65" s="143">
        <f t="shared" si="37"/>
        <v>30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795800</v>
      </c>
      <c r="M66" s="154">
        <f t="shared" ca="1" si="39"/>
        <v>1055800</v>
      </c>
      <c r="N66" s="154">
        <f t="shared" ca="1" si="39"/>
        <v>891258.2</v>
      </c>
      <c r="O66" s="154">
        <f t="shared" ref="O66:O74" ca="1" si="40">IF(L66&gt;0,N66*100/L66,0)</f>
        <v>111.99525006282985</v>
      </c>
      <c r="P66" s="154">
        <f t="shared" ref="P66:P74" ca="1" si="41">IF(M66&gt;0,N66*100/M66,0)</f>
        <v>84.41543853002463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795800</v>
      </c>
      <c r="M68" s="45">
        <f t="shared" ca="1" si="42"/>
        <v>1055800</v>
      </c>
      <c r="N68" s="45">
        <f t="shared" ca="1" si="42"/>
        <v>891258.2</v>
      </c>
      <c r="O68" s="45">
        <f t="shared" ca="1" si="40"/>
        <v>111.99525006282985</v>
      </c>
      <c r="P68" s="45">
        <f t="shared" ca="1" si="41"/>
        <v>84.41543853002463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795800</v>
      </c>
      <c r="M69" s="38">
        <f t="shared" ca="1" si="43"/>
        <v>1055800</v>
      </c>
      <c r="N69" s="38">
        <f t="shared" ca="1" si="43"/>
        <v>891258.2</v>
      </c>
      <c r="O69" s="38">
        <f t="shared" ca="1" si="40"/>
        <v>111.99525006282985</v>
      </c>
      <c r="P69" s="38">
        <f t="shared" ca="1" si="41"/>
        <v>84.41543853002463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IFERROR(__xludf.DUMMYFUNCTION("IMPORTRANGE(""https://docs.google.com/spreadsheets/d/1MeEWN-I1oV_STSDYn1IFDPWt_1FKiwhDph83XaGc0o0/edit?usp=sharing"",""งบพรบ!AG76"")"),795800)</f>
        <v>795800</v>
      </c>
      <c r="M71" s="45">
        <f ca="1">IFERROR(__xludf.DUMMYFUNCTION("IMPORTRANGE(""https://docs.google.com/spreadsheets/d/1MeEWN-I1oV_STSDYn1IFDPWt_1FKiwhDph83XaGc0o0/edit?usp=sharing"",""งบพรบ!AL76"")"),1055800)</f>
        <v>1055800</v>
      </c>
      <c r="N71" s="45">
        <f ca="1">IFERROR(__xludf.DUMMYFUNCTION("IMPORTRANGE(""https://docs.google.com/spreadsheets/d/1MeEWN-I1oV_STSDYn1IFDPWt_1FKiwhDph83XaGc0o0/edit?usp=sharing"",""งบพรบ!AN76"")"),891258.2)</f>
        <v>891258.2</v>
      </c>
      <c r="O71" s="45">
        <f t="shared" ca="1" si="40"/>
        <v>111.99525006282985</v>
      </c>
      <c r="P71" s="45">
        <f t="shared" ca="1" si="41"/>
        <v>84.41543853002463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IFERROR(__xludf.DUMMYFUNCTION("IMPORTRANGE(""https://docs.google.com/spreadsheets/d/1MeEWN-I1oV_STSDYn1IFDPWt_1FKiwhDph83XaGc0o0/edit?usp=sharing"",""งบพรบ!AJ76"")"),0)</f>
        <v>0</v>
      </c>
      <c r="M74" s="45">
        <f ca="1">IFERROR(__xludf.DUMMYFUNCTION("IMPORTRANGE(""https://docs.google.com/spreadsheets/d/1MeEWN-I1oV_STSDYn1IFDPWt_1FKiwhDph83XaGc0o0/edit?usp=sharing"",""งบพรบ!AM76"")"),0)</f>
        <v>0</v>
      </c>
      <c r="N74" s="45">
        <f ca="1">IFERROR(__xludf.DUMMYFUNCTION("IMPORTRANGE(""https://docs.google.com/spreadsheets/d/1MeEWN-I1oV_STSDYn1IFDPWt_1FKiwhDph83XaGc0o0/edit?usp=sharing"",""งบพรบ!AO76"")"),0)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30</v>
      </c>
      <c r="J77" s="37">
        <f t="shared" si="45"/>
        <v>30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IFERROR(__xludf.DUMMYFUNCTION("IMPORTRANGE(""https://docs.google.com/spreadsheets/d/1QqKyyYR6Q21VydFLVH3TRQUabQu_ym0Zz7PgGX0-kHA/edit?usp=sharing"",""แผน!H76"")"),1)</f>
        <v>1</v>
      </c>
      <c r="J78" s="181">
        <v>1</v>
      </c>
      <c r="K78" s="162">
        <f t="shared" ca="1" si="46"/>
        <v>100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IFERROR(__xludf.DUMMYFUNCTION("IMPORTRANGE(""https://docs.google.com/spreadsheets/d/1QqKyyYR6Q21VydFLVH3TRQUabQu_ym0Zz7PgGX0-kHA/edit?usp=sharing"",""แผน!I76"")"),30)</f>
        <v>30</v>
      </c>
      <c r="J79" s="181">
        <v>30</v>
      </c>
      <c r="K79" s="162">
        <f t="shared" ca="1" si="46"/>
        <v>100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IFERROR(__xludf.DUMMYFUNCTION("IMPORTRANGE(""https://docs.google.com/spreadsheets/d/1QqKyyYR6Q21VydFLVH3TRQUabQu_ym0Zz7PgGX0-kHA/edit?usp=sharing"",""แผน!F76"")"),0)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IFERROR(__xludf.DUMMYFUNCTION("IMPORTRANGE(""https://docs.google.com/spreadsheets/d/1QqKyyYR6Q21VydFLVH3TRQUabQu_ym0Zz7PgGX0-kHA/edit?usp=sharing"",""แผน!G76"")"),0)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IFERROR(__xludf.DUMMYFUNCTION("IMPORTRANGE(""https://docs.google.com/spreadsheets/d/1QqKyyYR6Q21VydFLVH3TRQUabQu_ym0Zz7PgGX0-kHA/edit?usp=sharing"",""แผน!D76"")"),0)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IFERROR(__xludf.DUMMYFUNCTION("IMPORTRANGE(""https://docs.google.com/spreadsheets/d/1QqKyyYR6Q21VydFLVH3TRQUabQu_ym0Zz7PgGX0-kHA/edit?usp=sharing"",""แผน!E76"")"),0)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IFERROR(__xludf.DUMMYFUNCTION("IMPORTRANGE(""https://docs.google.com/spreadsheets/d/1QqKyyYR6Q21VydFLVH3TRQUabQu_ym0Zz7PgGX0-kHA/edit?usp=sharing"",""แผน!J76"")"),1)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31200</v>
      </c>
      <c r="M88" s="154">
        <f t="shared" ca="1" si="49"/>
        <v>31200</v>
      </c>
      <c r="N88" s="154">
        <f t="shared" ca="1" si="49"/>
        <v>28135</v>
      </c>
      <c r="O88" s="154">
        <f t="shared" ref="O88:O96" ca="1" si="50">IF(L88&gt;0,N88*100/L88,0)</f>
        <v>90.176282051282058</v>
      </c>
      <c r="P88" s="154">
        <f t="shared" ref="P88:P96" ca="1" si="51">IF(M88&gt;0,N88*100/M88,0)</f>
        <v>90.176282051282058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31200</v>
      </c>
      <c r="M90" s="45">
        <f t="shared" ca="1" si="52"/>
        <v>31200</v>
      </c>
      <c r="N90" s="45">
        <f t="shared" ca="1" si="52"/>
        <v>28135</v>
      </c>
      <c r="O90" s="45">
        <f t="shared" ca="1" si="50"/>
        <v>90.176282051282058</v>
      </c>
      <c r="P90" s="45">
        <f t="shared" ca="1" si="51"/>
        <v>90.176282051282058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31200</v>
      </c>
      <c r="M91" s="38">
        <f t="shared" ca="1" si="53"/>
        <v>31200</v>
      </c>
      <c r="N91" s="38">
        <f t="shared" ca="1" si="53"/>
        <v>28135</v>
      </c>
      <c r="O91" s="38">
        <f t="shared" ca="1" si="50"/>
        <v>90.176282051282058</v>
      </c>
      <c r="P91" s="38">
        <f t="shared" ca="1" si="51"/>
        <v>90.176282051282058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IFERROR(__xludf.DUMMYFUNCTION("IMPORTRANGE(""https://docs.google.com/spreadsheets/d/1MeEWN-I1oV_STSDYn1IFDPWt_1FKiwhDph83XaGc0o0/edit?usp=sharing"",""งบพรบ!AQ76"")"),31200)</f>
        <v>31200</v>
      </c>
      <c r="M93" s="45">
        <f ca="1">IFERROR(__xludf.DUMMYFUNCTION("IMPORTRANGE(""https://docs.google.com/spreadsheets/d/1MeEWN-I1oV_STSDYn1IFDPWt_1FKiwhDph83XaGc0o0/edit?usp=sharing"",""งบพรบ!AV76"")"),31200)</f>
        <v>31200</v>
      </c>
      <c r="N93" s="45">
        <f ca="1">IFERROR(__xludf.DUMMYFUNCTION("IMPORTRANGE(""https://docs.google.com/spreadsheets/d/1MeEWN-I1oV_STSDYn1IFDPWt_1FKiwhDph83XaGc0o0/edit?usp=sharing"",""งบพรบ!AX76"")"),28135)</f>
        <v>28135</v>
      </c>
      <c r="O93" s="45">
        <f t="shared" ca="1" si="50"/>
        <v>90.176282051282058</v>
      </c>
      <c r="P93" s="45">
        <f t="shared" ca="1" si="51"/>
        <v>90.176282051282058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IFERROR(__xludf.DUMMYFUNCTION("IMPORTRANGE(""https://docs.google.com/spreadsheets/d/1MeEWN-I1oV_STSDYn1IFDPWt_1FKiwhDph83XaGc0o0/edit?usp=sharing"",""งบพรบ!AT76"")"),0)</f>
        <v>0</v>
      </c>
      <c r="M96" s="45">
        <f ca="1">IFERROR(__xludf.DUMMYFUNCTION("IMPORTRANGE(""https://docs.google.com/spreadsheets/d/1MeEWN-I1oV_STSDYn1IFDPWt_1FKiwhDph83XaGc0o0/edit?usp=sharing"",""งบพรบ!AW76"")"),0)</f>
        <v>0</v>
      </c>
      <c r="N96" s="45">
        <f ca="1">IFERROR(__xludf.DUMMYFUNCTION("IMPORTRANGE(""https://docs.google.com/spreadsheets/d/1MeEWN-I1oV_STSDYn1IFDPWt_1FKiwhDph83XaGc0o0/edit?usp=sharing"",""งบพรบ!AY76"")"),0)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IFERROR(__xludf.DUMMYFUNCTION("IMPORTRANGE(""https://docs.google.com/spreadsheets/d/1QqKyyYR6Q21VydFLVH3TRQUabQu_ym0Zz7PgGX0-kHA/edit?usp=sharing"",""แผน!K76"")"),0)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IFERROR(__xludf.DUMMYFUNCTION("IMPORTRANGE(""https://docs.google.com/spreadsheets/d/1QqKyyYR6Q21VydFLVH3TRQUabQu_ym0Zz7PgGX0-kHA/edit?usp=sharing"",""แผน!L76"")"),0)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IFERROR(__xludf.DUMMYFUNCTION("IMPORTRANGE(""https://docs.google.com/spreadsheets/d/1QqKyyYR6Q21VydFLVH3TRQUabQu_ym0Zz7PgGX0-kHA/edit?usp=sharing"",""แผน!M76"")"),1)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IFERROR(__xludf.DUMMYFUNCTION("IMPORTRANGE(""https://docs.google.com/spreadsheets/d/1QqKyyYR6Q21VydFLVH3TRQUabQu_ym0Zz7PgGX0-kHA/edit?usp=sharing"",""แผน!N76"")"),0)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IFERROR(__xludf.DUMMYFUNCTION("IMPORTRANGE(""https://docs.google.com/spreadsheets/d/1QqKyyYR6Q21VydFLVH3TRQUabQu_ym0Zz7PgGX0-kHA/edit?usp=sharing"",""แผน!O76"")"),0)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IFERROR(__xludf.DUMMYFUNCTION("IMPORTRANGE(""https://docs.google.com/spreadsheets/d/1QqKyyYR6Q21VydFLVH3TRQUabQu_ym0Zz7PgGX0-kHA/edit?usp=sharing"",""แผน!O76"")"),0)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IFERROR(__xludf.DUMMYFUNCTION("IMPORTRANGE(""https://docs.google.com/spreadsheets/d/1QqKyyYR6Q21VydFLVH3TRQUabQu_ym0Zz7PgGX0-kHA/edit?usp=sharing"",""แผน!P76"")"),1)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IFERROR(__xludf.DUMMYFUNCTION("IMPORTRANGE(""https://docs.google.com/spreadsheets/d/1QqKyyYR6Q21VydFLVH3TRQUabQu_ym0Zz7PgGX0-kHA/edit?usp=sharing"",""แผน!P76"")"),1)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IFERROR(__xludf.DUMMYFUNCTION("IMPORTRANGE(""https://docs.google.com/spreadsheets/d/1QqKyyYR6Q21VydFLVH3TRQUabQu_ym0Zz7PgGX0-kHA/edit?usp=sharing"",""แผน!Q76"")"),0)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IFERROR(__xludf.DUMMYFUNCTION("IMPORTRANGE(""https://docs.google.com/spreadsheets/d/1QqKyyYR6Q21VydFLVH3TRQUabQu_ym0Zz7PgGX0-kHA/edit?usp=sharing"",""แผน!Q76"")"),0)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IFERROR(__xludf.DUMMYFUNCTION("IMPORTRANGE(""https://docs.google.com/spreadsheets/d/1QqKyyYR6Q21VydFLVH3TRQUabQu_ym0Zz7PgGX0-kHA/edit?usp=sharing"",""แผน!R76"")"),0)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1</v>
      </c>
      <c r="K112" s="191">
        <f t="shared" ca="1" si="58"/>
        <v>100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IFERROR(__xludf.DUMMYFUNCTION("IMPORTRANGE(""https://docs.google.com/spreadsheets/d/1QqKyyYR6Q21VydFLVH3TRQUabQu_ym0Zz7PgGX0-kHA/edit?usp=sharing"",""แผน!R76"")"),0)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IFERROR(__xludf.DUMMYFUNCTION("IMPORTRANGE(""https://docs.google.com/spreadsheets/d/1QqKyyYR6Q21VydFLVH3TRQUabQu_ym0Zz7PgGX0-kHA/edit?usp=sharing"",""แผน!R76"")"),0)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IFERROR(__xludf.DUMMYFUNCTION("IMPORTRANGE(""https://docs.google.com/spreadsheets/d/1QqKyyYR6Q21VydFLVH3TRQUabQu_ym0Zz7PgGX0-kHA/edit?usp=sharing"",""แผน!S76"")"),1)</f>
        <v>1</v>
      </c>
      <c r="J115" s="181">
        <v>1</v>
      </c>
      <c r="K115" s="38">
        <f t="shared" ca="1" si="58"/>
        <v>100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IFERROR(__xludf.DUMMYFUNCTION("IMPORTRANGE(""https://docs.google.com/spreadsheets/d/1QqKyyYR6Q21VydFLVH3TRQUabQu_ym0Zz7PgGX0-kHA/edit?usp=sharing"",""แผน!T76"")"),0)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J440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IFERROR(__xludf.DUMMYFUNCTION("IMPORTRANGE(""https://docs.google.com/spreadsheets/d/1MeEWN-I1oV_STSDYn1IFDPWt_1FKiwhDph83XaGc0o0/edit?usp=sharing"",""งบพรบ!BA76"")"),0)</f>
        <v>0</v>
      </c>
      <c r="M124" s="45">
        <f ca="1">IFERROR(__xludf.DUMMYFUNCTION("IMPORTRANGE(""https://docs.google.com/spreadsheets/d/1MeEWN-I1oV_STSDYn1IFDPWt_1FKiwhDph83XaGc0o0/edit?usp=sharing"",""งบพรบ!BF76"")"),0)</f>
        <v>0</v>
      </c>
      <c r="N124" s="45">
        <f ca="1">IFERROR(__xludf.DUMMYFUNCTION("IMPORTRANGE(""https://docs.google.com/spreadsheets/d/1MeEWN-I1oV_STSDYn1IFDPWt_1FKiwhDph83XaGc0o0/edit?usp=sharing"",""งบพรบ!BH76"")"),0)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IFERROR(__xludf.DUMMYFUNCTION("IMPORTRANGE(""https://docs.google.com/spreadsheets/d/1MeEWN-I1oV_STSDYn1IFDPWt_1FKiwhDph83XaGc0o0/edit?usp=sharing"",""งบพรบ!BD76"")"),0)</f>
        <v>0</v>
      </c>
      <c r="M127" s="45">
        <f ca="1">IFERROR(__xludf.DUMMYFUNCTION("IMPORTRANGE(""https://docs.google.com/spreadsheets/d/1MeEWN-I1oV_STSDYn1IFDPWt_1FKiwhDph83XaGc0o0/edit?usp=sharing"",""งบพรบ!BG76"")"),0)</f>
        <v>0</v>
      </c>
      <c r="N127" s="45">
        <f ca="1">IFERROR(__xludf.DUMMYFUNCTION("IMPORTRANGE(""https://docs.google.com/spreadsheets/d/1MeEWN-I1oV_STSDYn1IFDPWt_1FKiwhDph83XaGc0o0/edit?usp=sharing"",""งบพรบ!BI76"")"),0)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1</v>
      </c>
      <c r="J130" s="143">
        <f t="shared" si="66"/>
        <v>1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10</v>
      </c>
      <c r="J131" s="143">
        <f t="shared" ca="1" si="68"/>
        <v>10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151655</v>
      </c>
      <c r="M132" s="154">
        <f t="shared" ca="1" si="69"/>
        <v>151655</v>
      </c>
      <c r="N132" s="154">
        <f t="shared" ca="1" si="69"/>
        <v>125625</v>
      </c>
      <c r="O132" s="154">
        <f t="shared" ref="O132:O140" ca="1" si="70">IF(L132&gt;0,N132*100/L132,0)</f>
        <v>82.836042332926709</v>
      </c>
      <c r="P132" s="154">
        <f t="shared" ref="P132:P140" ca="1" si="71">IF(M132&gt;0,N132*100/M132,0)</f>
        <v>82.836042332926709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151655</v>
      </c>
      <c r="M134" s="45">
        <f t="shared" ca="1" si="72"/>
        <v>151655</v>
      </c>
      <c r="N134" s="45">
        <f t="shared" ca="1" si="72"/>
        <v>125625</v>
      </c>
      <c r="O134" s="45">
        <f t="shared" ca="1" si="70"/>
        <v>82.836042332926709</v>
      </c>
      <c r="P134" s="45">
        <f t="shared" ca="1" si="71"/>
        <v>82.836042332926709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48655</v>
      </c>
      <c r="M135" s="38">
        <f t="shared" ca="1" si="73"/>
        <v>48655</v>
      </c>
      <c r="N135" s="38">
        <f t="shared" ca="1" si="73"/>
        <v>22625</v>
      </c>
      <c r="O135" s="38">
        <f t="shared" ca="1" si="70"/>
        <v>46.500873497071218</v>
      </c>
      <c r="P135" s="38">
        <f t="shared" ca="1" si="71"/>
        <v>46.500873497071218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IFERROR(__xludf.DUMMYFUNCTION("IMPORTRANGE(""https://docs.google.com/spreadsheets/d/1MeEWN-I1oV_STSDYn1IFDPWt_1FKiwhDph83XaGc0o0/edit?usp=sharing"",""งบพรบ!BK76"")"),48655)</f>
        <v>48655</v>
      </c>
      <c r="M137" s="45">
        <f ca="1">IFERROR(__xludf.DUMMYFUNCTION("IMPORTRANGE(""https://docs.google.com/spreadsheets/d/1MeEWN-I1oV_STSDYn1IFDPWt_1FKiwhDph83XaGc0o0/edit?usp=sharing"",""งบพรบ!BP76"")"),48655)</f>
        <v>48655</v>
      </c>
      <c r="N137" s="45">
        <f ca="1">IFERROR(__xludf.DUMMYFUNCTION("IMPORTRANGE(""https://docs.google.com/spreadsheets/d/1MeEWN-I1oV_STSDYn1IFDPWt_1FKiwhDph83XaGc0o0/edit?usp=sharing"",""งบพรบ!BR76"")"),22625)</f>
        <v>22625</v>
      </c>
      <c r="O137" s="45">
        <f t="shared" ca="1" si="70"/>
        <v>46.500873497071218</v>
      </c>
      <c r="P137" s="45">
        <f t="shared" ca="1" si="71"/>
        <v>46.500873497071218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103000</v>
      </c>
      <c r="M138" s="38">
        <f t="shared" ca="1" si="74"/>
        <v>103000</v>
      </c>
      <c r="N138" s="38">
        <f t="shared" ca="1" si="74"/>
        <v>103000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IFERROR(__xludf.DUMMYFUNCTION("IMPORTRANGE(""https://docs.google.com/spreadsheets/d/1MeEWN-I1oV_STSDYn1IFDPWt_1FKiwhDph83XaGc0o0/edit?usp=sharing"",""งบพรบ!BN76"")"),103000)</f>
        <v>103000</v>
      </c>
      <c r="M140" s="45">
        <f ca="1">IFERROR(__xludf.DUMMYFUNCTION("IMPORTRANGE(""https://docs.google.com/spreadsheets/d/1MeEWN-I1oV_STSDYn1IFDPWt_1FKiwhDph83XaGc0o0/edit?usp=sharing"",""งบพรบ!BQ76"")"),103000)</f>
        <v>103000</v>
      </c>
      <c r="N140" s="45">
        <f ca="1">IFERROR(__xludf.DUMMYFUNCTION("IMPORTRANGE(""https://docs.google.com/spreadsheets/d/1MeEWN-I1oV_STSDYn1IFDPWt_1FKiwhDph83XaGc0o0/edit?usp=sharing"",""งบพรบ!BS76"")"),103000)</f>
        <v>103000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10</v>
      </c>
      <c r="J143" s="37">
        <f ca="1">IF(AND(J144&gt;=I144,J145&gt;=I145),J145,0)</f>
        <v>10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IFERROR(__xludf.DUMMYFUNCTION("IMPORTRANGE(""https://docs.google.com/spreadsheets/d/1QqKyyYR6Q21VydFLVH3TRQUabQu_ym0Zz7PgGX0-kHA/edit?usp=sharing"",""แผน!U76"")"),5)</f>
        <v>5</v>
      </c>
      <c r="J144" s="181">
        <v>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IFERROR(__xludf.DUMMYFUNCTION("IMPORTRANGE(""https://docs.google.com/spreadsheets/d/1QqKyyYR6Q21VydFLVH3TRQUabQu_ym0Zz7PgGX0-kHA/edit?usp=sharing"",""แผน!V76"")"),10)</f>
        <v>10</v>
      </c>
      <c r="J145" s="181">
        <v>10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IFERROR(__xludf.DUMMYFUNCTION("IMPORTRANGE(""https://docs.google.com/spreadsheets/d/1QqKyyYR6Q21VydFLVH3TRQUabQu_ym0Zz7PgGX0-kHA/edit?usp=sharing"",""แผน!W76"")"),1)</f>
        <v>1</v>
      </c>
      <c r="J146" s="181">
        <v>1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20</v>
      </c>
      <c r="J148" s="143">
        <f t="shared" si="76"/>
        <v>21</v>
      </c>
      <c r="K148" s="144">
        <f ca="1">IF(I148&gt;0,J148*100/I148,0)</f>
        <v>105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10000</v>
      </c>
      <c r="M149" s="154">
        <f t="shared" ca="1" si="77"/>
        <v>10000</v>
      </c>
      <c r="N149" s="154">
        <f t="shared" ca="1" si="77"/>
        <v>4950</v>
      </c>
      <c r="O149" s="154">
        <f t="shared" ref="O149:O157" ca="1" si="78">IF(L149&gt;0,N149*100/L149,0)</f>
        <v>49.5</v>
      </c>
      <c r="P149" s="154">
        <f t="shared" ref="P149:P157" ca="1" si="79">IF(M149&gt;0,N149*100/M149,0)</f>
        <v>49.5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10000</v>
      </c>
      <c r="M151" s="45">
        <f t="shared" ca="1" si="80"/>
        <v>10000</v>
      </c>
      <c r="N151" s="45">
        <f t="shared" ca="1" si="80"/>
        <v>4950</v>
      </c>
      <c r="O151" s="45">
        <f t="shared" ca="1" si="78"/>
        <v>49.5</v>
      </c>
      <c r="P151" s="45">
        <f t="shared" ca="1" si="79"/>
        <v>49.5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10000</v>
      </c>
      <c r="M152" s="38">
        <f t="shared" ca="1" si="81"/>
        <v>10000</v>
      </c>
      <c r="N152" s="38">
        <f t="shared" ca="1" si="81"/>
        <v>4950</v>
      </c>
      <c r="O152" s="38">
        <f t="shared" ca="1" si="78"/>
        <v>49.5</v>
      </c>
      <c r="P152" s="38">
        <f t="shared" ca="1" si="79"/>
        <v>49.5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IFERROR(__xludf.DUMMYFUNCTION("IMPORTRANGE(""https://docs.google.com/spreadsheets/d/1MeEWN-I1oV_STSDYn1IFDPWt_1FKiwhDph83XaGc0o0/edit?usp=sharing"",""งบพรบ!BU76"")"),10000)</f>
        <v>10000</v>
      </c>
      <c r="M154" s="45">
        <f ca="1">IFERROR(__xludf.DUMMYFUNCTION("IMPORTRANGE(""https://docs.google.com/spreadsheets/d/1MeEWN-I1oV_STSDYn1IFDPWt_1FKiwhDph83XaGc0o0/edit?usp=sharing"",""งบพรบ!BZ76"")"),10000)</f>
        <v>10000</v>
      </c>
      <c r="N154" s="45">
        <f ca="1">IFERROR(__xludf.DUMMYFUNCTION("IMPORTRANGE(""https://docs.google.com/spreadsheets/d/1MeEWN-I1oV_STSDYn1IFDPWt_1FKiwhDph83XaGc0o0/edit?usp=sharing"",""งบพรบ!CB76"")"),4950)</f>
        <v>4950</v>
      </c>
      <c r="O154" s="45">
        <f t="shared" ca="1" si="78"/>
        <v>49.5</v>
      </c>
      <c r="P154" s="45">
        <f t="shared" ca="1" si="79"/>
        <v>49.5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IFERROR(__xludf.DUMMYFUNCTION("IMPORTRANGE(""https://docs.google.com/spreadsheets/d/1MeEWN-I1oV_STSDYn1IFDPWt_1FKiwhDph83XaGc0o0/edit?usp=sharing"",""งบพรบ!BX76"")"),0)</f>
        <v>0</v>
      </c>
      <c r="M157" s="45">
        <f ca="1">IFERROR(__xludf.DUMMYFUNCTION("IMPORTRANGE(""https://docs.google.com/spreadsheets/d/1MeEWN-I1oV_STSDYn1IFDPWt_1FKiwhDph83XaGc0o0/edit?usp=sharing"",""งบพรบ!CA76"")"),0)</f>
        <v>0</v>
      </c>
      <c r="N157" s="45">
        <f ca="1">IFERROR(__xludf.DUMMYFUNCTION("IMPORTRANGE(""https://docs.google.com/spreadsheets/d/1MeEWN-I1oV_STSDYn1IFDPWt_1FKiwhDph83XaGc0o0/edit?usp=sharing"",""งบพรบ!CC76"")"),0)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IFERROR(__xludf.DUMMYFUNCTION("IMPORTRANGE(""https://docs.google.com/spreadsheets/d/1QqKyyYR6Q21VydFLVH3TRQUabQu_ym0Zz7PgGX0-kHA/edit?usp=sharing"",""แผน!X76"")"),20)</f>
        <v>20</v>
      </c>
      <c r="J159" s="181">
        <v>21</v>
      </c>
      <c r="K159" s="38">
        <f ca="1">IF(I159&gt;0,J159*100/I159,0)</f>
        <v>105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 hidden="1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799">
        <f t="shared" ref="I164:J164" ca="1" si="83">I174+I177</f>
        <v>0</v>
      </c>
      <c r="J164" s="799">
        <f t="shared" si="83"/>
        <v>0</v>
      </c>
      <c r="K164" s="244">
        <f ca="1">IF(I164&gt;0,J164*100/I164,0)</f>
        <v>0</v>
      </c>
      <c r="L164" s="244"/>
      <c r="M164" s="244"/>
      <c r="N164" s="244"/>
      <c r="O164" s="244"/>
      <c r="P164" s="244"/>
    </row>
    <row r="165" spans="1:26" ht="19" hidden="1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3">
        <f t="shared" ref="L165:N165" ca="1" si="84">L166+L167</f>
        <v>0</v>
      </c>
      <c r="M165" s="153">
        <f t="shared" ca="1" si="84"/>
        <v>0</v>
      </c>
      <c r="N165" s="153">
        <f t="shared" ca="1" si="84"/>
        <v>0</v>
      </c>
      <c r="O165" s="153">
        <f t="shared" ref="O165:O173" ca="1" si="85">IF(L165&gt;0,N165*100/L165,0)</f>
        <v>0</v>
      </c>
      <c r="P165" s="153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0</v>
      </c>
      <c r="M167" s="45">
        <f t="shared" ca="1" si="87"/>
        <v>0</v>
      </c>
      <c r="N167" s="45">
        <f t="shared" ca="1" si="87"/>
        <v>0</v>
      </c>
      <c r="O167" s="45">
        <f t="shared" ca="1" si="85"/>
        <v>0</v>
      </c>
      <c r="P167" s="45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 hidden="1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0</v>
      </c>
      <c r="M168" s="38">
        <f t="shared" ca="1" si="88"/>
        <v>0</v>
      </c>
      <c r="N168" s="38">
        <f t="shared" ca="1" si="88"/>
        <v>0</v>
      </c>
      <c r="O168" s="38">
        <f t="shared" ca="1" si="85"/>
        <v>0</v>
      </c>
      <c r="P168" s="3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IFERROR(__xludf.DUMMYFUNCTION("IMPORTRANGE(""https://docs.google.com/spreadsheets/d/1MeEWN-I1oV_STSDYn1IFDPWt_1FKiwhDph83XaGc0o0/edit?usp=sharing"",""งบพรบ!CE76"")"),0)</f>
        <v>0</v>
      </c>
      <c r="M170" s="45">
        <f ca="1">IFERROR(__xludf.DUMMYFUNCTION("IMPORTRANGE(""https://docs.google.com/spreadsheets/d/1MeEWN-I1oV_STSDYn1IFDPWt_1FKiwhDph83XaGc0o0/edit?usp=sharing"",""งบพรบ!CJ76"")"),0)</f>
        <v>0</v>
      </c>
      <c r="N170" s="45">
        <f ca="1">IFERROR(__xludf.DUMMYFUNCTION("IMPORTRANGE(""https://docs.google.com/spreadsheets/d/1MeEWN-I1oV_STSDYn1IFDPWt_1FKiwhDph83XaGc0o0/edit?usp=sharing"",""งบพรบ!CL76"")"),0)</f>
        <v>0</v>
      </c>
      <c r="O170" s="45">
        <f t="shared" ca="1" si="85"/>
        <v>0</v>
      </c>
      <c r="P170" s="45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 hidden="1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IFERROR(__xludf.DUMMYFUNCTION("IMPORTRANGE(""https://docs.google.com/spreadsheets/d/1MeEWN-I1oV_STSDYn1IFDPWt_1FKiwhDph83XaGc0o0/edit?usp=sharing"",""งบพรบ!CH76"")"),0)</f>
        <v>0</v>
      </c>
      <c r="M173" s="45">
        <f ca="1">IFERROR(__xludf.DUMMYFUNCTION("IMPORTRANGE(""https://docs.google.com/spreadsheets/d/1MeEWN-I1oV_STSDYn1IFDPWt_1FKiwhDph83XaGc0o0/edit?usp=sharing"",""งบพรบ!CK76"")"),0)</f>
        <v>0</v>
      </c>
      <c r="N173" s="45">
        <f ca="1">IFERROR(__xludf.DUMMYFUNCTION("IMPORTRANGE(""https://docs.google.com/spreadsheets/d/1MeEWN-I1oV_STSDYn1IFDPWt_1FKiwhDph83XaGc0o0/edit?usp=sharing"",""งบพรบ!CM76"")"),0)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 hidden="1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0</v>
      </c>
      <c r="J174" s="250">
        <f t="shared" si="90"/>
        <v>0</v>
      </c>
      <c r="K174" s="251">
        <f ca="1">IF(I174&gt;0,J174*100/I174,0)</f>
        <v>0</v>
      </c>
      <c r="L174" s="251"/>
      <c r="M174" s="251"/>
      <c r="N174" s="251"/>
      <c r="O174" s="251"/>
      <c r="P174" s="251"/>
    </row>
    <row r="175" spans="1:26" ht="19" hidden="1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 hidden="1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IFERROR(__xludf.DUMMYFUNCTION("IMPORTRANGE(""https://docs.google.com/spreadsheets/d/1QqKyyYR6Q21VydFLVH3TRQUabQu_ym0Zz7PgGX0-kHA/edit?usp=sharing"",""แผน!Y76"")"),0)</f>
        <v>0</v>
      </c>
      <c r="J176" s="181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64000</v>
      </c>
      <c r="M181" s="154">
        <f t="shared" ca="1" si="92"/>
        <v>91830</v>
      </c>
      <c r="N181" s="154">
        <f t="shared" ca="1" si="92"/>
        <v>75692</v>
      </c>
      <c r="O181" s="154">
        <f t="shared" ref="O181:O189" ca="1" si="93">IF(L181&gt;0,N181*100/L181,0)</f>
        <v>118.26875</v>
      </c>
      <c r="P181" s="154">
        <f t="shared" ref="P181:P189" ca="1" si="94">IF(M181&gt;0,N181*100/M181,0)</f>
        <v>82.426222367418049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64000</v>
      </c>
      <c r="M183" s="45">
        <f t="shared" ca="1" si="95"/>
        <v>91830</v>
      </c>
      <c r="N183" s="45">
        <f t="shared" ca="1" si="95"/>
        <v>75692</v>
      </c>
      <c r="O183" s="45">
        <f t="shared" ca="1" si="93"/>
        <v>118.26875</v>
      </c>
      <c r="P183" s="45">
        <f t="shared" ca="1" si="94"/>
        <v>82.426222367418049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64000</v>
      </c>
      <c r="M184" s="38">
        <f t="shared" ca="1" si="96"/>
        <v>91830</v>
      </c>
      <c r="N184" s="38">
        <f t="shared" ca="1" si="96"/>
        <v>75692</v>
      </c>
      <c r="O184" s="38">
        <f t="shared" ca="1" si="93"/>
        <v>118.26875</v>
      </c>
      <c r="P184" s="38">
        <f t="shared" ca="1" si="94"/>
        <v>82.426222367418049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IFERROR(__xludf.DUMMYFUNCTION("IMPORTRANGE(""https://docs.google.com/spreadsheets/d/1MeEWN-I1oV_STSDYn1IFDPWt_1FKiwhDph83XaGc0o0/edit?usp=sharing"",""งบพรบ!CO76"")"),64000)</f>
        <v>64000</v>
      </c>
      <c r="M186" s="45">
        <f ca="1">IFERROR(__xludf.DUMMYFUNCTION("IMPORTRANGE(""https://docs.google.com/spreadsheets/d/1MeEWN-I1oV_STSDYn1IFDPWt_1FKiwhDph83XaGc0o0/edit?usp=sharing"",""งบพรบ!CT76"")"),91830)</f>
        <v>91830</v>
      </c>
      <c r="N186" s="45">
        <f ca="1">IFERROR(__xludf.DUMMYFUNCTION("IMPORTRANGE(""https://docs.google.com/spreadsheets/d/1MeEWN-I1oV_STSDYn1IFDPWt_1FKiwhDph83XaGc0o0/edit?usp=sharing"",""งบพรบ!CV76"")"),75692)</f>
        <v>75692</v>
      </c>
      <c r="O186" s="45">
        <f t="shared" ca="1" si="93"/>
        <v>118.26875</v>
      </c>
      <c r="P186" s="45">
        <f t="shared" ca="1" si="94"/>
        <v>82.426222367418049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IFERROR(__xludf.DUMMYFUNCTION("IMPORTRANGE(""https://docs.google.com/spreadsheets/d/1MeEWN-I1oV_STSDYn1IFDPWt_1FKiwhDph83XaGc0o0/edit?usp=sharing"",""งบพรบ!CR76"")"),0)</f>
        <v>0</v>
      </c>
      <c r="M189" s="45">
        <f ca="1">IFERROR(__xludf.DUMMYFUNCTION("IMPORTRANGE(""https://docs.google.com/spreadsheets/d/1MeEWN-I1oV_STSDYn1IFDPWt_1FKiwhDph83XaGc0o0/edit?usp=sharing"",""งบพรบ!CU76"")"),0)</f>
        <v>0</v>
      </c>
      <c r="N189" s="45">
        <f ca="1">IFERROR(__xludf.DUMMYFUNCTION("IMPORTRANGE(""https://docs.google.com/spreadsheets/d/1MeEWN-I1oV_STSDYn1IFDPWt_1FKiwhDph83XaGc0o0/edit?usp=sharing"",""งบพรบ!CW76"")"),0)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IFERROR(__xludf.DUMMYFUNCTION("IMPORTRANGE(""https://docs.google.com/spreadsheets/d/1QqKyyYR6Q21VydFLVH3TRQUabQu_ym0Zz7PgGX0-kHA/edit?usp=sharing"",""แผน!Z76"")"),6000)</f>
        <v>6000</v>
      </c>
      <c r="M191" s="154"/>
      <c r="N191" s="264">
        <v>5050</v>
      </c>
      <c r="O191" s="154">
        <f ca="1">IF(L191&gt;0,N191*100/L191,0)</f>
        <v>84.166666666666671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IFERROR(__xludf.DUMMYFUNCTION("IMPORTRANGE(""https://docs.google.com/spreadsheets/d/1QqKyyYR6Q21VydFLVH3TRQUabQu_ym0Zz7PgGX0-kHA/edit?usp=sharing"",""แผน!AC76"")"),4)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24000</v>
      </c>
      <c r="O198" s="154">
        <f ca="1">IF(L198&gt;0,N198*100/L198,0)</f>
        <v>92.307692307692307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IFERROR(__xludf.DUMMYFUNCTION("IMPORTRANGE(""https://docs.google.com/spreadsheets/d/1QqKyyYR6Q21VydFLVH3TRQUabQu_ym0Zz7PgGX0-kHA/edit?usp=sharing"",""แผน!AE76"")"),2000)</f>
        <v>2000</v>
      </c>
      <c r="M199" s="38"/>
      <c r="N199" s="270"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IFERROR(__xludf.DUMMYFUNCTION("IMPORTRANGE(""https://docs.google.com/spreadsheets/d/1QqKyyYR6Q21VydFLVH3TRQUabQu_ym0Zz7PgGX0-kHA/edit?usp=sharing"",""แผน!AF76"")"),16000)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IFERROR(__xludf.DUMMYFUNCTION("IMPORTRANGE(""https://docs.google.com/spreadsheets/d/1QqKyyYR6Q21VydFLVH3TRQUabQu_ym0Zz7PgGX0-kHA/edit?usp=sharing"",""แผน!AG76"")"),8000)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IFERROR(__xludf.DUMMYFUNCTION("IMPORTRANGE(""https://docs.google.com/spreadsheets/d/1QqKyyYR6Q21VydFLVH3TRQUabQu_ym0Zz7PgGX0-kHA/edit?usp=sharing"",""แผน!AH76"")"),0)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IFERROR(__xludf.DUMMYFUNCTION("IMPORTRANGE(""https://docs.google.com/spreadsheets/d/1QqKyyYR6Q21VydFLVH3TRQUabQu_ym0Zz7PgGX0-kHA/edit?usp=sharing"",""แผน!AI76"")"),2)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1</v>
      </c>
      <c r="J208" s="260">
        <f t="shared" si="101"/>
        <v>1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IFERROR(__xludf.DUMMYFUNCTION("IMPORTRANGE(""https://docs.google.com/spreadsheets/d/1QqKyyYR6Q21VydFLVH3TRQUabQu_ym0Zz7PgGX0-kHA/edit?usp=sharing"",""แผน!AK76"")"),1000)</f>
        <v>1000</v>
      </c>
      <c r="M210" s="38"/>
      <c r="N210" s="270">
        <v>1000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IFERROR(__xludf.DUMMYFUNCTION("IMPORTRANGE(""https://docs.google.com/spreadsheets/d/1QqKyyYR6Q21VydFLVH3TRQUabQu_ym0Zz7PgGX0-kHA/edit?usp=sharing"",""แผน!AL76"")"),5000)</f>
        <v>5000</v>
      </c>
      <c r="M211" s="38"/>
      <c r="N211" s="270">
        <v>5000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IFERROR(__xludf.DUMMYFUNCTION("IMPORTRANGE(""https://docs.google.com/spreadsheets/d/1QqKyyYR6Q21VydFLVH3TRQUabQu_ym0Zz7PgGX0-kHA/edit?usp=sharing"",""แผน!AM76"")"),8000)</f>
        <v>8000</v>
      </c>
      <c r="M212" s="38"/>
      <c r="N212" s="270">
        <v>8000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IFERROR(__xludf.DUMMYFUNCTION("IMPORTRANGE(""https://docs.google.com/spreadsheets/d/1QqKyyYR6Q21VydFLVH3TRQUabQu_ym0Zz7PgGX0-kHA/edit?usp=sharing"",""แผน!AN76"")"),1)</f>
        <v>1</v>
      </c>
      <c r="J214" s="181">
        <v>1</v>
      </c>
      <c r="K214" s="38">
        <f t="shared" ref="K214:K216" ca="1" si="102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IFERROR(__xludf.DUMMYFUNCTION("IMPORTRANGE(""https://docs.google.com/spreadsheets/d/1QqKyyYR6Q21VydFLVH3TRQUabQu_ym0Zz7PgGX0-kHA/edit?usp=sharing"",""แผน!AN76"")"),1)</f>
        <v>1</v>
      </c>
      <c r="J215" s="181">
        <v>1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20000</v>
      </c>
      <c r="J216" s="260">
        <f t="shared" si="103"/>
        <v>20000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18000</v>
      </c>
      <c r="M217" s="154"/>
      <c r="N217" s="154">
        <f>N218+N219+N220</f>
        <v>13390</v>
      </c>
      <c r="O217" s="154">
        <f ca="1">IF(L217&gt;0,N217*100/L217,0)</f>
        <v>74.388888888888886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IFERROR(__xludf.DUMMYFUNCTION("IMPORTRANGE(""https://docs.google.com/spreadsheets/d/1QqKyyYR6Q21VydFLVH3TRQUabQu_ym0Zz7PgGX0-kHA/edit?usp=sharing"",""แผน!AP76"")"),3000)</f>
        <v>3000</v>
      </c>
      <c r="M218" s="38"/>
      <c r="N218" s="270">
        <v>1030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IFERROR(__xludf.DUMMYFUNCTION("IMPORTRANGE(""https://docs.google.com/spreadsheets/d/1QqKyyYR6Q21VydFLVH3TRQUabQu_ym0Zz7PgGX0-kHA/edit?usp=sharing"",""แผน!AQ76"")"),5000)</f>
        <v>5000</v>
      </c>
      <c r="M219" s="38"/>
      <c r="N219" s="270">
        <v>5000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IFERROR(__xludf.DUMMYFUNCTION("IMPORTRANGE(""https://docs.google.com/spreadsheets/d/1QqKyyYR6Q21VydFLVH3TRQUabQu_ym0Zz7PgGX0-kHA/edit?usp=sharing"",""แผน!AR76"")"),10000)</f>
        <v>10000</v>
      </c>
      <c r="M220" s="38"/>
      <c r="N220" s="270">
        <v>7360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IFERROR(__xludf.DUMMYFUNCTION("IMPORTRANGE(""https://docs.google.com/spreadsheets/d/1QqKyyYR6Q21VydFLVH3TRQUabQu_ym0Zz7PgGX0-kHA/edit?usp=sharing"",""แผน!AT76"")"),20000)</f>
        <v>20000</v>
      </c>
      <c r="J223" s="181">
        <v>20000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IFERROR(__xludf.DUMMYFUNCTION("IMPORTRANGE(""https://docs.google.com/spreadsheets/d/1QqKyyYR6Q21VydFLVH3TRQUabQu_ym0Zz7PgGX0-kHA/edit?usp=sharing"",""แผน!AT76"")"),20000)</f>
        <v>20000</v>
      </c>
      <c r="J224" s="181">
        <v>20000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IFERROR(__xludf.DUMMYFUNCTION("IMPORTRANGE(""https://docs.google.com/spreadsheets/d/1QqKyyYR6Q21VydFLVH3TRQUabQu_ym0Zz7PgGX0-kHA/edit?usp=sharing"",""แผน!AS76"")"),10)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IFERROR(__xludf.DUMMYFUNCTION("IMPORTRANGE(""https://docs.google.com/spreadsheets/d/1QqKyyYR6Q21VydFLVH3TRQUabQu_ym0Zz7PgGX0-kHA/edit?usp=sharing"",""แผน!AV76"")"),0)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IFERROR(__xludf.DUMMYFUNCTION("IMPORTRANGE(""https://docs.google.com/spreadsheets/d/1QqKyyYR6Q21VydFLVH3TRQUabQu_ym0Zz7PgGX0-kHA/edit?usp=sharing"",""แผน!AW76"")"),0)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IFERROR(__xludf.DUMMYFUNCTION("IMPORTRANGE(""https://docs.google.com/spreadsheets/d/1QqKyyYR6Q21VydFLVH3TRQUabQu_ym0Zz7PgGX0-kHA/edit?usp=sharing"",""แผน!AX76"")"),0)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IFERROR(__xludf.DUMMYFUNCTION("IMPORTRANGE(""https://docs.google.com/spreadsheets/d/1QqKyyYR6Q21VydFLVH3TRQUabQu_ym0Zz7PgGX0-kHA/edit?usp=sharing"",""แผน!AY76"")"),0)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IFERROR(__xludf.DUMMYFUNCTION("IMPORTRANGE(""https://docs.google.com/spreadsheets/d/1QqKyyYR6Q21VydFLVH3TRQUabQu_ym0Zz7PgGX0-kHA/edit?usp=sharing"",""แผน!BE76"")"),0)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IFERROR(__xludf.DUMMYFUNCTION("IMPORTRANGE(""https://docs.google.com/spreadsheets/d/1QqKyyYR6Q21VydFLVH3TRQUabQu_ym0Zz7PgGX0-kHA/edit?usp=sharing"",""แผน!AZ76"")"),0)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IFERROR(__xludf.DUMMYFUNCTION("IMPORTRANGE(""https://docs.google.com/spreadsheets/d/1QqKyyYR6Q21VydFLVH3TRQUabQu_ym0Zz7PgGX0-kHA/edit?usp=sharing"",""แผน!BA76"")"),0)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IFERROR(__xludf.DUMMYFUNCTION("IMPORTRANGE(""https://docs.google.com/spreadsheets/d/1QqKyyYR6Q21VydFLVH3TRQUabQu_ym0Zz7PgGX0-kHA/edit?usp=sharing"",""แผน!BB76"")"),0)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IFERROR(__xludf.DUMMYFUNCTION("IMPORTRANGE(""https://docs.google.com/spreadsheets/d/1QqKyyYR6Q21VydFLVH3TRQUabQu_ym0Zz7PgGX0-kHA/edit?usp=sharing"",""แผน!BC76"")"),0)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IFERROR(__xludf.DUMMYFUNCTION("IMPORTRANGE(""https://docs.google.com/spreadsheets/d/1QqKyyYR6Q21VydFLVH3TRQUabQu_ym0Zz7PgGX0-kHA/edit?usp=sharing"",""แผน!BF76"")"),0)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24</v>
      </c>
      <c r="J260" s="242">
        <f t="shared" si="115"/>
        <v>24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28800</v>
      </c>
      <c r="M261" s="154">
        <f t="shared" ca="1" si="116"/>
        <v>28800</v>
      </c>
      <c r="N261" s="154">
        <f t="shared" ca="1" si="116"/>
        <v>19880</v>
      </c>
      <c r="O261" s="154">
        <f t="shared" ref="O261:O269" ca="1" si="117">IF(L261&gt;0,N261*100/L261,0)</f>
        <v>69.027777777777771</v>
      </c>
      <c r="P261" s="154">
        <f t="shared" ref="P261:P269" ca="1" si="118">IF(M261&gt;0,N261*100/M261,0)</f>
        <v>69.027777777777771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28800</v>
      </c>
      <c r="M263" s="45">
        <f t="shared" ca="1" si="119"/>
        <v>28800</v>
      </c>
      <c r="N263" s="45">
        <f t="shared" ca="1" si="119"/>
        <v>19880</v>
      </c>
      <c r="O263" s="45">
        <f t="shared" ca="1" si="117"/>
        <v>69.027777777777771</v>
      </c>
      <c r="P263" s="45">
        <f t="shared" ca="1" si="118"/>
        <v>69.027777777777771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28800</v>
      </c>
      <c r="M264" s="38">
        <f t="shared" ca="1" si="120"/>
        <v>28800</v>
      </c>
      <c r="N264" s="38">
        <f t="shared" ca="1" si="120"/>
        <v>19880</v>
      </c>
      <c r="O264" s="38">
        <f t="shared" ca="1" si="117"/>
        <v>69.027777777777771</v>
      </c>
      <c r="P264" s="38">
        <f t="shared" ca="1" si="118"/>
        <v>69.027777777777771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IFERROR(__xludf.DUMMYFUNCTION("IMPORTRANGE(""https://docs.google.com/spreadsheets/d/1MeEWN-I1oV_STSDYn1IFDPWt_1FKiwhDph83XaGc0o0/edit?usp=sharing"",""งบพรบ!CY76"")"),28800)</f>
        <v>28800</v>
      </c>
      <c r="M266" s="45">
        <f ca="1">IFERROR(__xludf.DUMMYFUNCTION("IMPORTRANGE(""https://docs.google.com/spreadsheets/d/1MeEWN-I1oV_STSDYn1IFDPWt_1FKiwhDph83XaGc0o0/edit?usp=sharing"",""งบพรบ!DD76"")"),28800)</f>
        <v>28800</v>
      </c>
      <c r="N266" s="45">
        <f ca="1">IFERROR(__xludf.DUMMYFUNCTION("IMPORTRANGE(""https://docs.google.com/spreadsheets/d/1MeEWN-I1oV_STSDYn1IFDPWt_1FKiwhDph83XaGc0o0/edit?usp=sharing"",""งบพรบ!DF76"")"),19880)</f>
        <v>19880</v>
      </c>
      <c r="O266" s="45">
        <f t="shared" ca="1" si="117"/>
        <v>69.027777777777771</v>
      </c>
      <c r="P266" s="45">
        <f t="shared" ca="1" si="118"/>
        <v>69.027777777777771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IFERROR(__xludf.DUMMYFUNCTION("IMPORTRANGE(""https://docs.google.com/spreadsheets/d/1MeEWN-I1oV_STSDYn1IFDPWt_1FKiwhDph83XaGc0o0/edit?usp=sharing"",""งบพรบ!DB76"")"),0)</f>
        <v>0</v>
      </c>
      <c r="M269" s="45">
        <f ca="1">IFERROR(__xludf.DUMMYFUNCTION("IMPORTRANGE(""https://docs.google.com/spreadsheets/d/1MeEWN-I1oV_STSDYn1IFDPWt_1FKiwhDph83XaGc0o0/edit?usp=sharing"",""งบพรบ!DE76"")"),0)</f>
        <v>0</v>
      </c>
      <c r="N269" s="45">
        <f ca="1">IFERROR(__xludf.DUMMYFUNCTION("IMPORTRANGE(""https://docs.google.com/spreadsheets/d/1MeEWN-I1oV_STSDYn1IFDPWt_1FKiwhDph83XaGc0o0/edit?usp=sharing"",""งบพรบ!DG76"")"),0)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IFERROR(__xludf.DUMMYFUNCTION("IMPORTRANGE(""https://docs.google.com/spreadsheets/d/1QqKyyYR6Q21VydFLVH3TRQUabQu_ym0Zz7PgGX0-kHA/edit?usp=sharing"",""แผน!EA76"")"),24)</f>
        <v>24</v>
      </c>
      <c r="J271" s="181">
        <v>24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5</v>
      </c>
      <c r="J275" s="387">
        <f t="shared" ca="1" si="122"/>
        <v>5</v>
      </c>
      <c r="K275" s="388">
        <f t="shared" ref="K275:K276" ca="1" si="123">IF(I275&gt;0,J275*100/I275,0)</f>
        <v>100</v>
      </c>
      <c r="L275" s="389"/>
      <c r="M275" s="389"/>
      <c r="N275" s="389"/>
      <c r="O275" s="389"/>
      <c r="P275" s="389"/>
    </row>
    <row r="276" spans="1:26" ht="19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4">I287</f>
        <v>50</v>
      </c>
      <c r="J276" s="390">
        <f t="shared" si="124"/>
        <v>50</v>
      </c>
      <c r="K276" s="389">
        <f t="shared" ca="1" si="123"/>
        <v>100</v>
      </c>
      <c r="L276" s="389"/>
      <c r="M276" s="389"/>
      <c r="N276" s="389"/>
      <c r="O276" s="389"/>
      <c r="P276" s="389"/>
    </row>
    <row r="277" spans="1:26" ht="19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22630</v>
      </c>
      <c r="M277" s="154">
        <f t="shared" ca="1" si="125"/>
        <v>22630</v>
      </c>
      <c r="N277" s="154">
        <f t="shared" ca="1" si="125"/>
        <v>5120</v>
      </c>
      <c r="O277" s="154">
        <f t="shared" ref="O277:O285" ca="1" si="126">IF(L277&gt;0,N277*100/L277,0)</f>
        <v>22.624834290764472</v>
      </c>
      <c r="P277" s="154">
        <f t="shared" ref="P277:P285" ca="1" si="127">IF(M277&gt;0,N277*100/M277,0)</f>
        <v>22.624834290764472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22630</v>
      </c>
      <c r="M279" s="45">
        <f t="shared" ca="1" si="128"/>
        <v>22630</v>
      </c>
      <c r="N279" s="45">
        <f t="shared" ca="1" si="128"/>
        <v>5120</v>
      </c>
      <c r="O279" s="45">
        <f t="shared" ca="1" si="126"/>
        <v>22.624834290764472</v>
      </c>
      <c r="P279" s="45">
        <f t="shared" ca="1" si="127"/>
        <v>22.624834290764472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22630</v>
      </c>
      <c r="M280" s="38">
        <f t="shared" ca="1" si="129"/>
        <v>22630</v>
      </c>
      <c r="N280" s="38">
        <f t="shared" ca="1" si="129"/>
        <v>5120</v>
      </c>
      <c r="O280" s="38">
        <f t="shared" ca="1" si="126"/>
        <v>22.624834290764472</v>
      </c>
      <c r="P280" s="38">
        <f t="shared" ca="1" si="127"/>
        <v>22.624834290764472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IFERROR(__xludf.DUMMYFUNCTION("IMPORTRANGE(""https://docs.google.com/spreadsheets/d/1MeEWN-I1oV_STSDYn1IFDPWt_1FKiwhDph83XaGc0o0/edit?usp=sharing"",""งบพรบ!DI76"")"),22630)</f>
        <v>22630</v>
      </c>
      <c r="M282" s="45">
        <f ca="1">IFERROR(__xludf.DUMMYFUNCTION("IMPORTRANGE(""https://docs.google.com/spreadsheets/d/1MeEWN-I1oV_STSDYn1IFDPWt_1FKiwhDph83XaGc0o0/edit?usp=sharing"",""งบพรบ!DN76"")"),22630)</f>
        <v>22630</v>
      </c>
      <c r="N282" s="45">
        <f ca="1">IFERROR(__xludf.DUMMYFUNCTION("IMPORTRANGE(""https://docs.google.com/spreadsheets/d/1MeEWN-I1oV_STSDYn1IFDPWt_1FKiwhDph83XaGc0o0/edit?usp=sharing"",""งบพรบ!DP76"")"),5120)</f>
        <v>5120</v>
      </c>
      <c r="O282" s="45">
        <f t="shared" ca="1" si="126"/>
        <v>22.624834290764472</v>
      </c>
      <c r="P282" s="45">
        <f t="shared" ca="1" si="127"/>
        <v>22.624834290764472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IFERROR(__xludf.DUMMYFUNCTION("IMPORTRANGE(""https://docs.google.com/spreadsheets/d/1MeEWN-I1oV_STSDYn1IFDPWt_1FKiwhDph83XaGc0o0/edit?usp=sharing"",""งบพรบ!DL76"")"),0)</f>
        <v>0</v>
      </c>
      <c r="M285" s="45">
        <f ca="1">IFERROR(__xludf.DUMMYFUNCTION("IMPORTRANGE(""https://docs.google.com/spreadsheets/d/1MeEWN-I1oV_STSDYn1IFDPWt_1FKiwhDph83XaGc0o0/edit?usp=sharing"",""งบพรบ!DO76"")"),0)</f>
        <v>0</v>
      </c>
      <c r="N285" s="45">
        <f ca="1">IFERROR(__xludf.DUMMYFUNCTION("IMPORTRANGE(""https://docs.google.com/spreadsheets/d/1MeEWN-I1oV_STSDYn1IFDPWt_1FKiwhDph83XaGc0o0/edit?usp=sharing"",""งบพรบ!DQ76"")"),0)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IFERROR(__xludf.DUMMYFUNCTION("IMPORTRANGE(""https://docs.google.com/spreadsheets/d/1QqKyyYR6Q21VydFLVH3TRQUabQu_ym0Zz7PgGX0-kHA/edit?usp=sharing"",""แผน!EC76"")"),50)</f>
        <v>50</v>
      </c>
      <c r="J287" s="181">
        <v>50</v>
      </c>
      <c r="K287" s="162">
        <f t="shared" ref="K287:K288" ca="1" si="131">IF(I287&gt;0,J287*100/I287,0)</f>
        <v>100</v>
      </c>
      <c r="L287" s="162"/>
      <c r="M287" s="162"/>
      <c r="N287" s="162"/>
      <c r="O287" s="162"/>
      <c r="P287" s="162"/>
    </row>
    <row r="288" spans="1:26" ht="19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IFERROR(__xludf.DUMMYFUNCTION("IMPORTRANGE(""https://docs.google.com/spreadsheets/d/1QqKyyYR6Q21VydFLVH3TRQUabQu_ym0Zz7PgGX0-kHA/edit?usp=sharing"",""แผน!EB76"")"),5)</f>
        <v>5</v>
      </c>
      <c r="J288" s="190">
        <f ca="1">IF(AND(J291&gt;=I288,J294&gt;=I288),J294,0)</f>
        <v>5</v>
      </c>
      <c r="K288" s="391">
        <f t="shared" ca="1" si="131"/>
        <v>100</v>
      </c>
      <c r="L288" s="162"/>
      <c r="M288" s="162"/>
      <c r="N288" s="162"/>
      <c r="O288" s="162"/>
      <c r="P288" s="162"/>
    </row>
    <row r="289" spans="1:26" ht="19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IFERROR(__xludf.DUMMYFUNCTION("IMPORTRANGE(""https://docs.google.com/spreadsheets/d/1QqKyyYR6Q21VydFLVH3TRQUabQu_ym0Zz7PgGX0-kHA/edit?usp=sharing"",""แผน!EB76"")"),5)</f>
        <v>5</v>
      </c>
      <c r="J290" s="181">
        <v>5</v>
      </c>
      <c r="K290" s="162">
        <f t="shared" ref="K290:K291" ca="1" si="132">IF(I290&gt;0,J290*100/I290,0)</f>
        <v>100</v>
      </c>
      <c r="L290" s="162"/>
      <c r="M290" s="162"/>
      <c r="N290" s="162"/>
      <c r="O290" s="162"/>
      <c r="P290" s="162"/>
    </row>
    <row r="291" spans="1:26" ht="19">
      <c r="A291" s="169"/>
      <c r="B291" s="170"/>
      <c r="C291" s="170"/>
      <c r="D291" s="177"/>
      <c r="E291" s="184" t="s">
        <v>133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IFERROR(__xludf.DUMMYFUNCTION("IMPORTRANGE(""https://docs.google.com/spreadsheets/d/1QqKyyYR6Q21VydFLVH3TRQUabQu_ym0Zz7PgGX0-kHA/edit?usp=sharing"",""แผน!EB76"")"),5)</f>
        <v>5</v>
      </c>
      <c r="J291" s="181">
        <v>5</v>
      </c>
      <c r="K291" s="162">
        <f t="shared" ca="1" si="132"/>
        <v>100</v>
      </c>
      <c r="L291" s="162"/>
      <c r="M291" s="162"/>
      <c r="N291" s="162"/>
      <c r="O291" s="162"/>
      <c r="P291" s="162"/>
    </row>
    <row r="292" spans="1:26" ht="19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IFERROR(__xludf.DUMMYFUNCTION("IMPORTRANGE(""https://docs.google.com/spreadsheets/d/1QqKyyYR6Q21VydFLVH3TRQUabQu_ym0Zz7PgGX0-kHA/edit?usp=sharing"",""แผน!EB76"")"),5)</f>
        <v>5</v>
      </c>
      <c r="J293" s="181">
        <v>5</v>
      </c>
      <c r="K293" s="162">
        <f t="shared" ref="K293:K294" ca="1" si="133">IF(I293&gt;0,J293*100/I293,0)</f>
        <v>100</v>
      </c>
      <c r="L293" s="162"/>
      <c r="M293" s="162"/>
      <c r="N293" s="162"/>
      <c r="O293" s="162"/>
      <c r="P293" s="162"/>
    </row>
    <row r="294" spans="1:26" ht="19">
      <c r="A294" s="360"/>
      <c r="B294" s="361"/>
      <c r="C294" s="361"/>
      <c r="D294" s="363"/>
      <c r="E294" s="399" t="s">
        <v>136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IFERROR(__xludf.DUMMYFUNCTION("IMPORTRANGE(""https://docs.google.com/spreadsheets/d/1QqKyyYR6Q21VydFLVH3TRQUabQu_ym0Zz7PgGX0-kHA/edit?usp=sharing"",""แผน!EB76"")"),5)</f>
        <v>5</v>
      </c>
      <c r="J294" s="57">
        <v>5</v>
      </c>
      <c r="K294" s="366">
        <f t="shared" ca="1" si="133"/>
        <v>100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20</v>
      </c>
      <c r="J297" s="421">
        <f t="shared" si="134"/>
        <v>20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111400</v>
      </c>
      <c r="N298" s="154">
        <f t="shared" ca="1" si="135"/>
        <v>57380</v>
      </c>
      <c r="O298" s="154">
        <f t="shared" ref="O298:O306" ca="1" si="136">IF(L298&gt;0,N298*100/L298,0)</f>
        <v>69.635922330097088</v>
      </c>
      <c r="P298" s="154">
        <f t="shared" ref="P298:P306" ca="1" si="137">IF(M298&gt;0,N298*100/M298,0)</f>
        <v>51.508078994614003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111400</v>
      </c>
      <c r="N300" s="45">
        <f t="shared" ca="1" si="138"/>
        <v>57380</v>
      </c>
      <c r="O300" s="45">
        <f t="shared" ca="1" si="136"/>
        <v>69.635922330097088</v>
      </c>
      <c r="P300" s="45">
        <f t="shared" ca="1" si="137"/>
        <v>51.508078994614003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111400</v>
      </c>
      <c r="N301" s="38">
        <f t="shared" ca="1" si="139"/>
        <v>57380</v>
      </c>
      <c r="O301" s="38">
        <f t="shared" ca="1" si="136"/>
        <v>69.635922330097088</v>
      </c>
      <c r="P301" s="38">
        <f t="shared" ca="1" si="137"/>
        <v>51.508078994614003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IFERROR(__xludf.DUMMYFUNCTION("IMPORTRANGE(""https://docs.google.com/spreadsheets/d/1MeEWN-I1oV_STSDYn1IFDPWt_1FKiwhDph83XaGc0o0/edit?usp=sharing"",""งบพรบ!DS76"")"),82400)</f>
        <v>82400</v>
      </c>
      <c r="M303" s="45">
        <f ca="1">IFERROR(__xludf.DUMMYFUNCTION("IMPORTRANGE(""https://docs.google.com/spreadsheets/d/1MeEWN-I1oV_STSDYn1IFDPWt_1FKiwhDph83XaGc0o0/edit?usp=sharing"",""งบพรบ!DX76"")"),111400)</f>
        <v>111400</v>
      </c>
      <c r="N303" s="45">
        <f ca="1">IFERROR(__xludf.DUMMYFUNCTION("IMPORTRANGE(""https://docs.google.com/spreadsheets/d/1MeEWN-I1oV_STSDYn1IFDPWt_1FKiwhDph83XaGc0o0/edit?usp=sharing"",""งบพรบ!DZ76"")"),57380)</f>
        <v>57380</v>
      </c>
      <c r="O303" s="45">
        <f t="shared" ca="1" si="136"/>
        <v>69.635922330097088</v>
      </c>
      <c r="P303" s="45">
        <f t="shared" ca="1" si="137"/>
        <v>51.508078994614003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IFERROR(__xludf.DUMMYFUNCTION("IMPORTRANGE(""https://docs.google.com/spreadsheets/d/1MeEWN-I1oV_STSDYn1IFDPWt_1FKiwhDph83XaGc0o0/edit?usp=sharing"",""งบพรบ!DV76"")"),0)</f>
        <v>0</v>
      </c>
      <c r="M306" s="45">
        <f ca="1">IFERROR(__xludf.DUMMYFUNCTION("IMPORTRANGE(""https://docs.google.com/spreadsheets/d/1MeEWN-I1oV_STSDYn1IFDPWt_1FKiwhDph83XaGc0o0/edit?usp=sharing"",""งบพรบ!DY76"")"),0)</f>
        <v>0</v>
      </c>
      <c r="N306" s="45">
        <f ca="1">IFERROR(__xludf.DUMMYFUNCTION("IMPORTRANGE(""https://docs.google.com/spreadsheets/d/1MeEWN-I1oV_STSDYn1IFDPWt_1FKiwhDph83XaGc0o0/edit?usp=sharing"",""งบพรบ!EA76"")"),0)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1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IFERROR(__xludf.DUMMYFUNCTION("IMPORTRANGE(""https://docs.google.com/spreadsheets/d/1QqKyyYR6Q21VydFLVH3TRQUabQu_ym0Zz7PgGX0-kHA/edit?usp=sharing"",""แผน!ED76"")"),20)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IFERROR(__xludf.DUMMYFUNCTION("IMPORTRANGE(""https://docs.google.com/spreadsheets/d/1QqKyyYR6Q21VydFLVH3TRQUabQu_ym0Zz7PgGX0-kHA/edit?usp=sharing"",""แผน!ED76"")"),20)</f>
        <v>20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IFERROR(__xludf.DUMMYFUNCTION("IMPORTRANGE(""https://docs.google.com/spreadsheets/d/1QqKyyYR6Q21VydFLVH3TRQUabQu_ym0Zz7PgGX0-kHA/edit?usp=sharing"",""แผน!ED76"")"),20)</f>
        <v>20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IFERROR(__xludf.DUMMYFUNCTION("IMPORTRANGE(""https://docs.google.com/spreadsheets/d/1QqKyyYR6Q21VydFLVH3TRQUabQu_ym0Zz7PgGX0-kHA/edit?usp=sharing"",""แผน!EE76"")"),4)</f>
        <v>4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1</v>
      </c>
      <c r="J314" s="421">
        <f t="shared" si="142"/>
        <v>1</v>
      </c>
      <c r="K314" s="422">
        <f ca="1">IF(I314&gt;0,J314*100/I314,0)</f>
        <v>100</v>
      </c>
      <c r="L314" s="423"/>
      <c r="M314" s="423"/>
      <c r="N314" s="423"/>
      <c r="O314" s="423"/>
      <c r="P314" s="423"/>
    </row>
    <row r="315" spans="1:26" ht="19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153000</v>
      </c>
      <c r="M315" s="154">
        <f t="shared" ca="1" si="143"/>
        <v>153000</v>
      </c>
      <c r="N315" s="154">
        <f t="shared" ca="1" si="143"/>
        <v>134243.20000000001</v>
      </c>
      <c r="O315" s="154">
        <f t="shared" ref="O315:O323" ca="1" si="144">IF(L315&gt;0,N315*100/L315,0)</f>
        <v>87.74065359477126</v>
      </c>
      <c r="P315" s="154">
        <f t="shared" ref="P315:P323" ca="1" si="145">IF(M315&gt;0,N315*100/M315,0)</f>
        <v>87.74065359477126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153000</v>
      </c>
      <c r="M317" s="45">
        <f t="shared" ca="1" si="146"/>
        <v>153000</v>
      </c>
      <c r="N317" s="45">
        <f t="shared" ca="1" si="146"/>
        <v>134243.20000000001</v>
      </c>
      <c r="O317" s="45">
        <f t="shared" ca="1" si="144"/>
        <v>87.74065359477126</v>
      </c>
      <c r="P317" s="45">
        <f t="shared" ca="1" si="145"/>
        <v>87.74065359477126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153000</v>
      </c>
      <c r="M318" s="38">
        <f t="shared" ca="1" si="147"/>
        <v>153000</v>
      </c>
      <c r="N318" s="38">
        <f t="shared" ca="1" si="147"/>
        <v>134243.20000000001</v>
      </c>
      <c r="O318" s="38">
        <f t="shared" ca="1" si="144"/>
        <v>87.74065359477126</v>
      </c>
      <c r="P318" s="38">
        <f t="shared" ca="1" si="145"/>
        <v>87.74065359477126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IFERROR(__xludf.DUMMYFUNCTION("IMPORTRANGE(""https://docs.google.com/spreadsheets/d/1MeEWN-I1oV_STSDYn1IFDPWt_1FKiwhDph83XaGc0o0/edit?usp=sharing"",""งบพรบ!EC76"")"),153000)</f>
        <v>153000</v>
      </c>
      <c r="M320" s="45">
        <f ca="1">IFERROR(__xludf.DUMMYFUNCTION("IMPORTRANGE(""https://docs.google.com/spreadsheets/d/1MeEWN-I1oV_STSDYn1IFDPWt_1FKiwhDph83XaGc0o0/edit?usp=sharing"",""งบพรบ!EH76"")"),153000)</f>
        <v>153000</v>
      </c>
      <c r="N320" s="45">
        <f ca="1">IFERROR(__xludf.DUMMYFUNCTION("IMPORTRANGE(""https://docs.google.com/spreadsheets/d/1MeEWN-I1oV_STSDYn1IFDPWt_1FKiwhDph83XaGc0o0/edit?usp=sharing"",""งบพรบ!EJ76"")"),134243.2)</f>
        <v>134243.20000000001</v>
      </c>
      <c r="O320" s="45">
        <f t="shared" ca="1" si="144"/>
        <v>87.74065359477126</v>
      </c>
      <c r="P320" s="45">
        <f t="shared" ca="1" si="145"/>
        <v>87.74065359477126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IFERROR(__xludf.DUMMYFUNCTION("IMPORTRANGE(""https://docs.google.com/spreadsheets/d/1MeEWN-I1oV_STSDYn1IFDPWt_1FKiwhDph83XaGc0o0/edit?usp=sharing"",""งบพรบ!EF76"")"),0)</f>
        <v>0</v>
      </c>
      <c r="M323" s="45">
        <f ca="1">IFERROR(__xludf.DUMMYFUNCTION("IMPORTRANGE(""https://docs.google.com/spreadsheets/d/1MeEWN-I1oV_STSDYn1IFDPWt_1FKiwhDph83XaGc0o0/edit?usp=sharing"",""งบพรบ!EI76"")"),0)</f>
        <v>0</v>
      </c>
      <c r="N323" s="45">
        <f ca="1">IFERROR(__xludf.DUMMYFUNCTION("IMPORTRANGE(""https://docs.google.com/spreadsheets/d/1MeEWN-I1oV_STSDYn1IFDPWt_1FKiwhDph83XaGc0o0/edit?usp=sharing"",""งบพรบ!EK76"")"),0)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IFERROR(__xludf.DUMMYFUNCTION("IMPORTRANGE(""https://docs.google.com/spreadsheets/d/1QqKyyYR6Q21VydFLVH3TRQUabQu_ym0Zz7PgGX0-kHA/edit?usp=sharing"",""แผน!EF76"")"),1)</f>
        <v>1</v>
      </c>
      <c r="J325" s="181">
        <v>1</v>
      </c>
      <c r="K325" s="38">
        <f ca="1">IF(I325&gt;0,J325*100/I325,0)</f>
        <v>100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IFERROR(__xludf.DUMMYFUNCTION("IMPORTRANGE(""https://docs.google.com/spreadsheets/d/1QqKyyYR6Q21VydFLVH3TRQUabQu_ym0Zz7PgGX0-kHA/edit?usp=sharing"",""แผน!EG76"")"),3100)</f>
        <v>3100</v>
      </c>
      <c r="J327" s="421">
        <f ca="1">J338+J341+J342+J343</f>
        <v>3283</v>
      </c>
      <c r="K327" s="422">
        <f ca="1">IF(I327&gt;0,J327*100/I327,0)</f>
        <v>105.90322580645162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173000</v>
      </c>
      <c r="M328" s="154">
        <f t="shared" ca="1" si="149"/>
        <v>175500</v>
      </c>
      <c r="N328" s="154">
        <f t="shared" ca="1" si="149"/>
        <v>138204</v>
      </c>
      <c r="O328" s="154">
        <f t="shared" ref="O328:O336" ca="1" si="150">IF(L328&gt;0,N328*100/L328,0)</f>
        <v>79.886705202312143</v>
      </c>
      <c r="P328" s="154">
        <f t="shared" ref="P328:P336" ca="1" si="151">IF(M328&gt;0,N328*100/M328,0)</f>
        <v>78.748717948717953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173000</v>
      </c>
      <c r="M330" s="45">
        <f t="shared" ca="1" si="152"/>
        <v>175500</v>
      </c>
      <c r="N330" s="45">
        <f t="shared" ca="1" si="152"/>
        <v>138204</v>
      </c>
      <c r="O330" s="45">
        <f t="shared" ca="1" si="150"/>
        <v>79.886705202312143</v>
      </c>
      <c r="P330" s="45">
        <f t="shared" ca="1" si="151"/>
        <v>78.748717948717953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173000</v>
      </c>
      <c r="M331" s="38">
        <f t="shared" ca="1" si="153"/>
        <v>175500</v>
      </c>
      <c r="N331" s="38">
        <f t="shared" ca="1" si="153"/>
        <v>138204</v>
      </c>
      <c r="O331" s="38">
        <f t="shared" ca="1" si="150"/>
        <v>79.886705202312143</v>
      </c>
      <c r="P331" s="38">
        <f t="shared" ca="1" si="151"/>
        <v>78.748717948717953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IFERROR(__xludf.DUMMYFUNCTION("IMPORTRANGE(""https://docs.google.com/spreadsheets/d/1MeEWN-I1oV_STSDYn1IFDPWt_1FKiwhDph83XaGc0o0/edit?usp=sharing"",""งบพรบ!EM76"")"),173000)</f>
        <v>173000</v>
      </c>
      <c r="M333" s="45">
        <f ca="1">IFERROR(__xludf.DUMMYFUNCTION("IMPORTRANGE(""https://docs.google.com/spreadsheets/d/1MeEWN-I1oV_STSDYn1IFDPWt_1FKiwhDph83XaGc0o0/edit?usp=sharing"",""งบพรบ!ER76"")"),175500)</f>
        <v>175500</v>
      </c>
      <c r="N333" s="45">
        <f ca="1">IFERROR(__xludf.DUMMYFUNCTION("IMPORTRANGE(""https://docs.google.com/spreadsheets/d/1MeEWN-I1oV_STSDYn1IFDPWt_1FKiwhDph83XaGc0o0/edit?usp=sharing"",""งบพรบ!ET76"")"),138204)</f>
        <v>138204</v>
      </c>
      <c r="O333" s="45">
        <f t="shared" ca="1" si="150"/>
        <v>79.886705202312143</v>
      </c>
      <c r="P333" s="45">
        <f t="shared" ca="1" si="151"/>
        <v>78.748717948717953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IFERROR(__xludf.DUMMYFUNCTION("IMPORTRANGE(""https://docs.google.com/spreadsheets/d/1MeEWN-I1oV_STSDYn1IFDPWt_1FKiwhDph83XaGc0o0/edit?usp=sharing"",""งบพรบ!EP76"")"),0)</f>
        <v>0</v>
      </c>
      <c r="M336" s="45">
        <f ca="1">IFERROR(__xludf.DUMMYFUNCTION("IMPORTRANGE(""https://docs.google.com/spreadsheets/d/1MeEWN-I1oV_STSDYn1IFDPWt_1FKiwhDph83XaGc0o0/edit?usp=sharing"",""งบพรบ!ES76"")"),0)</f>
        <v>0</v>
      </c>
      <c r="N336" s="45">
        <f ca="1">IFERROR(__xludf.DUMMYFUNCTION("IMPORTRANGE(""https://docs.google.com/spreadsheets/d/1MeEWN-I1oV_STSDYn1IFDPWt_1FKiwhDph83XaGc0o0/edit?usp=sharing"",""งบพรบ!EU76"")"),0)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IFERROR(__xludf.DUMMYFUNCTION("IMPORTRANGE(""https://docs.google.com/spreadsheets/d/1QqKyyYR6Q21VydFLVH3TRQUabQu_ym0Zz7PgGX0-kHA/edit?usp=sharing"",""แผน!EG76"")"),3100)</f>
        <v>3100</v>
      </c>
      <c r="J338" s="37">
        <f ca="1">IFERROR(__xludf.DUMMYFUNCTION("IMPORTRANGE(""https://docs.google.com/spreadsheets/d/1kVcqe37tkHyjCSG3S0O1AXqVkqjo8mSIZil3BcpIysc/edit?usp=sharing"",""ศูนย์!D76"")"),3220)</f>
        <v>3220</v>
      </c>
      <c r="K338" s="38">
        <f ca="1">IF(I338&gt;0,J338*100/I338,0)</f>
        <v>103.87096774193549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IFERROR(__xludf.DUMMYFUNCTION("IMPORTRANGE(""https://docs.google.com/spreadsheets/d/1QqKyyYR6Q21VydFLVH3TRQUabQu_ym0Zz7PgGX0-kHA/edit?usp=sharing"",""แผน!EH76"")"),5)</f>
        <v>5</v>
      </c>
      <c r="J340" s="37">
        <f ca="1">IFERROR(__xludf.DUMMYFUNCTION("IMPORTRANGE(""https://docs.google.com/spreadsheets/d/1kVcqe37tkHyjCSG3S0O1AXqVkqjo8mSIZil3BcpIysc/edit?usp=sharing"",""ศูนย์!E76"")"),1)</f>
        <v>1</v>
      </c>
      <c r="K340" s="38">
        <f ca="1">IF(I340&gt;0,J340*100/I340,0)</f>
        <v>20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IFERROR(__xludf.DUMMYFUNCTION("IMPORTRANGE(""https://docs.google.com/spreadsheets/d/1kVcqe37tkHyjCSG3S0O1AXqVkqjo8mSIZil3BcpIysc/edit?usp=sharing"",""ศูนย์!F76"")"),63)</f>
        <v>63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IFERROR(__xludf.DUMMYFUNCTION("IMPORTRANGE(""https://docs.google.com/spreadsheets/d/1kVcqe37tkHyjCSG3S0O1AXqVkqjo8mSIZil3BcpIysc/edit?usp=sharing"",""ศูนย์!G76"")"),0)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IFERROR(__xludf.DUMMYFUNCTION("IMPORTRANGE(""https://docs.google.com/spreadsheets/d/1kVcqe37tkHyjCSG3S0O1AXqVkqjo8mSIZil3BcpIysc/edit?usp=sharing"",""ศูนย์!H76"")"),0)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768060</v>
      </c>
      <c r="M345" s="154">
        <f t="shared" ca="1" si="155"/>
        <v>1011240</v>
      </c>
      <c r="N345" s="154">
        <f t="shared" ca="1" si="155"/>
        <v>784025.75</v>
      </c>
      <c r="O345" s="154">
        <f t="shared" ref="O345:O353" ca="1" si="156">IF(L345&gt;0,N345*100/L345,0)</f>
        <v>102.07871129859646</v>
      </c>
      <c r="P345" s="154">
        <f t="shared" ref="P345:P353" ca="1" si="157">IF(M345&gt;0,N345*100/M345,0)</f>
        <v>77.531125153277159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768060</v>
      </c>
      <c r="M347" s="45">
        <f t="shared" ca="1" si="158"/>
        <v>1011240</v>
      </c>
      <c r="N347" s="45">
        <f t="shared" ca="1" si="158"/>
        <v>784025.75</v>
      </c>
      <c r="O347" s="45">
        <f t="shared" ca="1" si="156"/>
        <v>102.07871129859646</v>
      </c>
      <c r="P347" s="45">
        <f t="shared" ca="1" si="157"/>
        <v>77.531125153277159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566060</v>
      </c>
      <c r="M348" s="38">
        <f t="shared" ca="1" si="159"/>
        <v>809240</v>
      </c>
      <c r="N348" s="38">
        <f t="shared" ca="1" si="159"/>
        <v>582025.75</v>
      </c>
      <c r="O348" s="38">
        <f t="shared" ca="1" si="156"/>
        <v>102.82050489347419</v>
      </c>
      <c r="P348" s="38">
        <f t="shared" ca="1" si="157"/>
        <v>71.922513716573576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IFERROR(__xludf.DUMMYFUNCTION("IMPORTRANGE(""https://docs.google.com/spreadsheets/d/1MeEWN-I1oV_STSDYn1IFDPWt_1FKiwhDph83XaGc0o0/edit?usp=sharing"",""งบพรบ!EW76"")"),566060)</f>
        <v>566060</v>
      </c>
      <c r="M350" s="45">
        <f ca="1">IFERROR(__xludf.DUMMYFUNCTION("IMPORTRANGE(""https://docs.google.com/spreadsheets/d/1MeEWN-I1oV_STSDYn1IFDPWt_1FKiwhDph83XaGc0o0/edit?usp=sharing"",""งบพรบ!FB76"")"),809240)</f>
        <v>809240</v>
      </c>
      <c r="N350" s="45">
        <f ca="1">IFERROR(__xludf.DUMMYFUNCTION("IMPORTRANGE(""https://docs.google.com/spreadsheets/d/1MeEWN-I1oV_STSDYn1IFDPWt_1FKiwhDph83XaGc0o0/edit?usp=sharing"",""งบพรบ!FD76"")"),582025.75)</f>
        <v>582025.75</v>
      </c>
      <c r="O350" s="45">
        <f t="shared" ca="1" si="156"/>
        <v>102.82050489347419</v>
      </c>
      <c r="P350" s="45">
        <f t="shared" ca="1" si="157"/>
        <v>71.922513716573576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202000</v>
      </c>
      <c r="M351" s="38">
        <f t="shared" ca="1" si="160"/>
        <v>202000</v>
      </c>
      <c r="N351" s="38">
        <f t="shared" ca="1" si="160"/>
        <v>202000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IFERROR(__xludf.DUMMYFUNCTION("IMPORTRANGE(""https://docs.google.com/spreadsheets/d/1MeEWN-I1oV_STSDYn1IFDPWt_1FKiwhDph83XaGc0o0/edit?usp=sharing"",""งบพรบ!EZ76"")"),202000)</f>
        <v>202000</v>
      </c>
      <c r="M353" s="45">
        <f ca="1">IFERROR(__xludf.DUMMYFUNCTION("IMPORTRANGE(""https://docs.google.com/spreadsheets/d/1MeEWN-I1oV_STSDYn1IFDPWt_1FKiwhDph83XaGc0o0/edit?usp=sharing"",""งบพรบ!FC76"")"),202000)</f>
        <v>202000</v>
      </c>
      <c r="N353" s="45">
        <f ca="1">IFERROR(__xludf.DUMMYFUNCTION("IMPORTRANGE(""https://docs.google.com/spreadsheets/d/1MeEWN-I1oV_STSDYn1IFDPWt_1FKiwhDph83XaGc0o0/edit?usp=sharing"",""งบพรบ!FE76"")"),202000)</f>
        <v>202000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IFERROR(__xludf.DUMMYFUNCTION("IMPORTRANGE(""https://docs.google.com/spreadsheets/d/1QqKyyYR6Q21VydFLVH3TRQUabQu_ym0Zz7PgGX0-kHA/edit?usp=sharing"",""แผน!EP76"")"),280)</f>
        <v>280</v>
      </c>
      <c r="J355" s="438">
        <f ca="1">J362</f>
        <v>60</v>
      </c>
      <c r="K355" s="439">
        <f ca="1">IF(I355&gt;0,J355*100/I355,0)</f>
        <v>21.428571428571427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IFERROR(__xludf.DUMMYFUNCTION("IMPORTRANGE(""https://docs.google.com/spreadsheets/d/1XWAQStnk-4SwqDmLtmXYiTMKHgktTP8We1SCoS47DrQ/edit?usp=sharing"",""จัดที่ดิน!W76"")"),303)</f>
        <v>303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IFERROR(__xludf.DUMMYFUNCTION("IMPORTRANGE(""https://docs.google.com/spreadsheets/d/1QqKyyYR6Q21VydFLVH3TRQUabQu_ym0Zz7PgGX0-kHA/edit?usp=sharing"",""แผน!EO76"")"),2500)</f>
        <v>2500</v>
      </c>
      <c r="J359" s="37">
        <f ca="1">IFERROR(__xludf.DUMMYFUNCTION("IMPORTRANGE(""https://docs.google.com/spreadsheets/d/1XWAQStnk-4SwqDmLtmXYiTMKHgktTP8We1SCoS47DrQ/edit?usp=sharing"",""จัดที่ดิน!X76"")"),2852.34)</f>
        <v>2852.34</v>
      </c>
      <c r="K359" s="38">
        <f t="shared" ca="1" si="161"/>
        <v>114.0936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IFERROR(__xludf.DUMMYFUNCTION("IMPORTRANGE(""https://docs.google.com/spreadsheets/d/1QqKyyYR6Q21VydFLVH3TRQUabQu_ym0Zz7PgGX0-kHA/edit?usp=sharing"",""แผน!EP76"")"),280)</f>
        <v>280</v>
      </c>
      <c r="J360" s="37">
        <f ca="1">IFERROR(__xludf.DUMMYFUNCTION("IMPORTRANGE(""https://docs.google.com/spreadsheets/d/1XWAQStnk-4SwqDmLtmXYiTMKHgktTP8We1SCoS47DrQ/edit?usp=sharing"",""จัดที่ดิน!Y76"")"),236)</f>
        <v>236</v>
      </c>
      <c r="K360" s="38">
        <f t="shared" ca="1" si="161"/>
        <v>84.285714285714292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IFERROR(__xludf.DUMMYFUNCTION("IMPORTRANGE(""https://docs.google.com/spreadsheets/d/1XWAQStnk-4SwqDmLtmXYiTMKHgktTP8We1SCoS47DrQ/edit?usp=sharing"",""จัดที่ดิน!Z76"")"),2225.22)</f>
        <v>2225.2199999999998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IFERROR(__xludf.DUMMYFUNCTION("IMPORTRANGE(""https://docs.google.com/spreadsheets/d/1QqKyyYR6Q21VydFLVH3TRQUabQu_ym0Zz7PgGX0-kHA/edit?usp=sharing"",""แผน!EP76"")"),280)</f>
        <v>280</v>
      </c>
      <c r="J362" s="37">
        <f ca="1">IFERROR(__xludf.DUMMYFUNCTION("IMPORTRANGE(""https://docs.google.com/spreadsheets/d/1XWAQStnk-4SwqDmLtmXYiTMKHgktTP8We1SCoS47DrQ/edit?usp=sharing"",""จัดที่ดิน!AA76"")"),60)</f>
        <v>60</v>
      </c>
      <c r="K362" s="38">
        <f t="shared" ca="1" si="161"/>
        <v>21.428571428571427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IFERROR(__xludf.DUMMYFUNCTION("IMPORTRANGE(""https://docs.google.com/spreadsheets/d/1XWAQStnk-4SwqDmLtmXYiTMKHgktTP8We1SCoS47DrQ/edit?usp=sharing"",""จัดที่ดิน!AB76"")"),520.41)</f>
        <v>520.41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670</v>
      </c>
      <c r="J364" s="452">
        <f t="shared" ca="1" si="162"/>
        <v>530</v>
      </c>
      <c r="K364" s="453">
        <f t="shared" ca="1" si="161"/>
        <v>79.104477611940297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IFERROR(__xludf.DUMMYFUNCTION("IMPORTRANGE(""https://docs.google.com/spreadsheets/d/1QqKyyYR6Q21VydFLVH3TRQUabQu_ym0Zz7PgGX0-kHA/edit?usp=sharing"",""แผน!EJ76"")"),100)</f>
        <v>100</v>
      </c>
      <c r="J365" s="462">
        <f ca="1">J372</f>
        <v>5</v>
      </c>
      <c r="K365" s="463">
        <f t="shared" ca="1" si="161"/>
        <v>5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IFERROR(__xludf.DUMMYFUNCTION("IMPORTRANGE(""https://docs.google.com/spreadsheets/d/1XWAQStnk-4SwqDmLtmXYiTMKHgktTP8We1SCoS47DrQ/edit?usp=sharing"",""จัดที่ดิน!E76"")"),90)</f>
        <v>90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IFERROR(__xludf.DUMMYFUNCTION("IMPORTRANGE(""https://docs.google.com/spreadsheets/d/1QqKyyYR6Q21VydFLVH3TRQUabQu_ym0Zz7PgGX0-kHA/edit?usp=sharing"",""แผน!EI76"")"),1000)</f>
        <v>1000</v>
      </c>
      <c r="J369" s="37">
        <f ca="1">IFERROR(__xludf.DUMMYFUNCTION("IMPORTRANGE(""https://docs.google.com/spreadsheets/d/1XWAQStnk-4SwqDmLtmXYiTMKHgktTP8We1SCoS47DrQ/edit?usp=sharing"",""จัดที่ดิน!F76"")"),823.54)</f>
        <v>823.54</v>
      </c>
      <c r="K369" s="38">
        <f t="shared" ca="1" si="163"/>
        <v>82.353999999999999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IFERROR(__xludf.DUMMYFUNCTION("IMPORTRANGE(""https://docs.google.com/spreadsheets/d/1QqKyyYR6Q21VydFLVH3TRQUabQu_ym0Zz7PgGX0-kHA/edit?usp=sharing"",""แผน!EJ76"")"),100)</f>
        <v>100</v>
      </c>
      <c r="J370" s="37">
        <f ca="1">IFERROR(__xludf.DUMMYFUNCTION("IMPORTRANGE(""https://docs.google.com/spreadsheets/d/1XWAQStnk-4SwqDmLtmXYiTMKHgktTP8We1SCoS47DrQ/edit?usp=sharing"",""จัดที่ดิน!G76"")"),38)</f>
        <v>38</v>
      </c>
      <c r="K370" s="38">
        <f t="shared" ca="1" si="163"/>
        <v>38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IFERROR(__xludf.DUMMYFUNCTION("IMPORTRANGE(""https://docs.google.com/spreadsheets/d/1XWAQStnk-4SwqDmLtmXYiTMKHgktTP8We1SCoS47DrQ/edit?usp=sharing"",""จัดที่ดิน!H76"")"),380.68)</f>
        <v>380.68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IFERROR(__xludf.DUMMYFUNCTION("IMPORTRANGE(""https://docs.google.com/spreadsheets/d/1QqKyyYR6Q21VydFLVH3TRQUabQu_ym0Zz7PgGX0-kHA/edit?usp=sharing"",""แผน!EJ76"")"),100)</f>
        <v>100</v>
      </c>
      <c r="J372" s="37">
        <f ca="1">IFERROR(__xludf.DUMMYFUNCTION("IMPORTRANGE(""https://docs.google.com/spreadsheets/d/1XWAQStnk-4SwqDmLtmXYiTMKHgktTP8We1SCoS47DrQ/edit?usp=sharing"",""จัดที่ดิน!I76"")"),5)</f>
        <v>5</v>
      </c>
      <c r="K372" s="38">
        <f t="shared" ca="1" si="163"/>
        <v>5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IFERROR(__xludf.DUMMYFUNCTION("IMPORTRANGE(""https://docs.google.com/spreadsheets/d/1XWAQStnk-4SwqDmLtmXYiTMKHgktTP8We1SCoS47DrQ/edit?usp=sharing"",""จัดที่ดิน!J76"")"),36.85)</f>
        <v>36.85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IFERROR(__xludf.DUMMYFUNCTION("IMPORTRANGE(""https://docs.google.com/spreadsheets/d/1QqKyyYR6Q21VydFLVH3TRQUabQu_ym0Zz7PgGX0-kHA/edit?usp=sharing"",""แผน!EU76"")"),570)</f>
        <v>570</v>
      </c>
      <c r="J374" s="462">
        <f ca="1">J381</f>
        <v>525</v>
      </c>
      <c r="K374" s="463">
        <f t="shared" ca="1" si="163"/>
        <v>92.10526315789474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IFERROR(__xludf.DUMMYFUNCTION("IMPORTRANGE(""https://docs.google.com/spreadsheets/d/1XWAQStnk-4SwqDmLtmXYiTMKHgktTP8We1SCoS47DrQ/edit?usp=sharing"",""จัดที่ดิน!AH76"")"),213)</f>
        <v>213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IFERROR(__xludf.DUMMYFUNCTION("IMPORTRANGE(""https://docs.google.com/spreadsheets/d/1QqKyyYR6Q21VydFLVH3TRQUabQu_ym0Zz7PgGX0-kHA/edit?usp=sharing"",""แผน!ET76"")"),1500)</f>
        <v>1500</v>
      </c>
      <c r="J378" s="37">
        <f ca="1">IFERROR(__xludf.DUMMYFUNCTION("IMPORTRANGE(""https://docs.google.com/spreadsheets/d/1XWAQStnk-4SwqDmLtmXYiTMKHgktTP8We1SCoS47DrQ/edit?usp=sharing"",""จัดที่ดิน!AI76"")"),2028.8)</f>
        <v>2028.8</v>
      </c>
      <c r="K378" s="38">
        <f t="shared" ca="1" si="164"/>
        <v>135.25333333333333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IFERROR(__xludf.DUMMYFUNCTION("IMPORTRANGE(""https://docs.google.com/spreadsheets/d/1QqKyyYR6Q21VydFLVH3TRQUabQu_ym0Zz7PgGX0-kHA/edit?usp=sharing"",""แผน!EU76"")"),570)</f>
        <v>570</v>
      </c>
      <c r="J379" s="37">
        <f ca="1">IFERROR(__xludf.DUMMYFUNCTION("IMPORTRANGE(""https://docs.google.com/spreadsheets/d/1XWAQStnk-4SwqDmLtmXYiTMKHgktTP8We1SCoS47DrQ/edit?usp=sharing"",""จัดที่ดิน!AJ76"")"),669)</f>
        <v>669</v>
      </c>
      <c r="K379" s="38">
        <f t="shared" ca="1" si="164"/>
        <v>117.36842105263158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IFERROR(__xludf.DUMMYFUNCTION("IMPORTRANGE(""https://docs.google.com/spreadsheets/d/1XWAQStnk-4SwqDmLtmXYiTMKHgktTP8We1SCoS47DrQ/edit?usp=sharing"",""จัดที่ดิน!AK76"")"),8437.09)</f>
        <v>8437.09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IFERROR(__xludf.DUMMYFUNCTION("IMPORTRANGE(""https://docs.google.com/spreadsheets/d/1QqKyyYR6Q21VydFLVH3TRQUabQu_ym0Zz7PgGX0-kHA/edit?usp=sharing"",""แผน!EU76"")"),570)</f>
        <v>570</v>
      </c>
      <c r="J381" s="37">
        <f ca="1">IFERROR(__xludf.DUMMYFUNCTION("IMPORTRANGE(""https://docs.google.com/spreadsheets/d/1XWAQStnk-4SwqDmLtmXYiTMKHgktTP8We1SCoS47DrQ/edit?usp=sharing"",""จัดที่ดิน!AL76"")"),525)</f>
        <v>525</v>
      </c>
      <c r="K381" s="38">
        <f t="shared" ca="1" si="164"/>
        <v>92.10526315789474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IFERROR(__xludf.DUMMYFUNCTION("IMPORTRANGE(""https://docs.google.com/spreadsheets/d/1XWAQStnk-4SwqDmLtmXYiTMKHgktTP8We1SCoS47DrQ/edit?usp=sharing"",""จัดที่ดิน!AM76"")"),7052.24)</f>
        <v>7052.24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IFERROR(__xludf.DUMMYFUNCTION("IMPORTRANGE(""https://docs.google.com/spreadsheets/d/1QqKyyYR6Q21VydFLVH3TRQUabQu_ym0Zz7PgGX0-kHA/edit?usp=sharing"",""แผน!EW76"")"),35)</f>
        <v>35</v>
      </c>
      <c r="J385" s="365">
        <f ca="1">IFERROR(__xludf.DUMMYFUNCTION("IMPORTRANGE(""https://docs.google.com/spreadsheets/d/1XWAQStnk-4SwqDmLtmXYiTMKHgktTP8We1SCoS47DrQ/edit?usp=sharing"",""จัดที่ดิน!AP76"")"),0)</f>
        <v>0</v>
      </c>
      <c r="K385" s="475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IFERROR(__xludf.DUMMYFUNCTION("IMPORTRANGE(""https://docs.google.com/spreadsheets/d/1MeEWN-I1oV_STSDYn1IFDPWt_1FKiwhDph83XaGc0o0/edit?usp=sharing"",""งบพรบ!FG76"")"),0)</f>
        <v>0</v>
      </c>
      <c r="M394" s="45">
        <f ca="1">IFERROR(__xludf.DUMMYFUNCTION("IMPORTRANGE(""https://docs.google.com/spreadsheets/d/1MeEWN-I1oV_STSDYn1IFDPWt_1FKiwhDph83XaGc0o0/edit?usp=sharing"",""งบพรบ!FL76"")"),0)</f>
        <v>0</v>
      </c>
      <c r="N394" s="45">
        <f ca="1">IFERROR(__xludf.DUMMYFUNCTION("IMPORTRANGE(""https://docs.google.com/spreadsheets/d/1MeEWN-I1oV_STSDYn1IFDPWt_1FKiwhDph83XaGc0o0/edit?usp=sharing"",""งบพรบ!FN76"")"),0)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IFERROR(__xludf.DUMMYFUNCTION("IMPORTRANGE(""https://docs.google.com/spreadsheets/d/1MeEWN-I1oV_STSDYn1IFDPWt_1FKiwhDph83XaGc0o0/edit?usp=sharing"",""งบพรบ!FJ76"")"),0)</f>
        <v>0</v>
      </c>
      <c r="M397" s="45">
        <f ca="1">IFERROR(__xludf.DUMMYFUNCTION("IMPORTRANGE(""https://docs.google.com/spreadsheets/d/1MeEWN-I1oV_STSDYn1IFDPWt_1FKiwhDph83XaGc0o0/edit?usp=sharing"",""งบพรบ!FM76"")"),0)</f>
        <v>0</v>
      </c>
      <c r="N397" s="45">
        <f ca="1">IFERROR(__xludf.DUMMYFUNCTION("IMPORTRANGE(""https://docs.google.com/spreadsheets/d/1MeEWN-I1oV_STSDYn1IFDPWt_1FKiwhDph83XaGc0o0/edit?usp=sharing"",""งบพรบ!FO76"")"),0)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0</v>
      </c>
      <c r="J401" s="495">
        <f t="shared" si="173"/>
        <v>0</v>
      </c>
      <c r="K401" s="496">
        <f t="shared" si="172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IFERROR(__xludf.DUMMYFUNCTION("IMPORTRANGE(""https://docs.google.com/spreadsheets/d/1MeEWN-I1oV_STSDYn1IFDPWt_1FKiwhDph83XaGc0o0/edit?usp=sharing"",""งบพรบ!FQ76"")"),0)</f>
        <v>0</v>
      </c>
      <c r="M407" s="45">
        <f ca="1">IFERROR(__xludf.DUMMYFUNCTION("IMPORTRANGE(""https://docs.google.com/spreadsheets/d/1MeEWN-I1oV_STSDYn1IFDPWt_1FKiwhDph83XaGc0o0/edit?usp=sharing"",""งบพรบ!FV76"")"),0)</f>
        <v>0</v>
      </c>
      <c r="N407" s="45">
        <f ca="1">IFERROR(__xludf.DUMMYFUNCTION("IMPORTRANGE(""https://docs.google.com/spreadsheets/d/1MeEWN-I1oV_STSDYn1IFDPWt_1FKiwhDph83XaGc0o0/edit?usp=sharing"",""งบพรบ!FX76"")"),0)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IFERROR(__xludf.DUMMYFUNCTION("IMPORTRANGE(""https://docs.google.com/spreadsheets/d/1MeEWN-I1oV_STSDYn1IFDPWt_1FKiwhDph83XaGc0o0/edit?usp=sharing"",""งบพรบ!FT76"")"),0)</f>
        <v>0</v>
      </c>
      <c r="M410" s="45">
        <f ca="1">IFERROR(__xludf.DUMMYFUNCTION("IMPORTRANGE(""https://docs.google.com/spreadsheets/d/1MeEWN-I1oV_STSDYn1IFDPWt_1FKiwhDph83XaGc0o0/edit?usp=sharing"",""งบพรบ!FW76"")"),0)</f>
        <v>0</v>
      </c>
      <c r="N410" s="45">
        <f ca="1">IFERROR(__xludf.DUMMYFUNCTION("IMPORTRANGE(""https://docs.google.com/spreadsheets/d/1MeEWN-I1oV_STSDYn1IFDPWt_1FKiwhDph83XaGc0o0/edit?usp=sharing"",""งบพรบ!FY76"")"),0)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80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2119836</v>
      </c>
      <c r="M414" s="521">
        <f t="shared" ca="1" si="181"/>
        <v>2119836</v>
      </c>
      <c r="N414" s="521">
        <f t="shared" si="181"/>
        <v>1773052.05</v>
      </c>
      <c r="O414" s="521">
        <f ca="1">IF(L414&gt;0,N414*100/L414,0)</f>
        <v>83.641001001964298</v>
      </c>
      <c r="P414" s="521">
        <f ca="1">IF(M414&gt;0,N414*100/M414,0)</f>
        <v>83.641001001964298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20</v>
      </c>
      <c r="J417" s="536">
        <f t="shared" ca="1" si="182"/>
        <v>20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1</v>
      </c>
      <c r="J418" s="536">
        <f t="shared" si="182"/>
        <v>1</v>
      </c>
      <c r="K418" s="537">
        <f t="shared" ca="1" si="183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78760</v>
      </c>
      <c r="M419" s="154">
        <f t="shared" ca="1" si="184"/>
        <v>78760</v>
      </c>
      <c r="N419" s="154">
        <f t="shared" si="184"/>
        <v>51840</v>
      </c>
      <c r="O419" s="154">
        <f t="shared" ref="O419:O424" ca="1" si="185">IF(L419&gt;0,N419*100/L419,0)</f>
        <v>65.820213306246828</v>
      </c>
      <c r="P419" s="154">
        <f t="shared" ref="P419:P424" ca="1" si="186">IF(M419&gt;0,N419*100/M419,0)</f>
        <v>65.820213306246828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78760</v>
      </c>
      <c r="M421" s="45">
        <f t="shared" ca="1" si="187"/>
        <v>78760</v>
      </c>
      <c r="N421" s="45">
        <f t="shared" si="187"/>
        <v>51840</v>
      </c>
      <c r="O421" s="45">
        <f t="shared" ca="1" si="185"/>
        <v>65.820213306246828</v>
      </c>
      <c r="P421" s="45">
        <f t="shared" ca="1" si="186"/>
        <v>65.820213306246828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78760</v>
      </c>
      <c r="M422" s="38">
        <f t="shared" ca="1" si="188"/>
        <v>78760</v>
      </c>
      <c r="N422" s="38">
        <f t="shared" si="188"/>
        <v>51840</v>
      </c>
      <c r="O422" s="38">
        <f t="shared" ca="1" si="185"/>
        <v>65.820213306246828</v>
      </c>
      <c r="P422" s="38">
        <f t="shared" ca="1" si="186"/>
        <v>65.820213306246828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IFERROR(__xludf.DUMMYFUNCTION("IMPORTRANGE(""https://docs.google.com/spreadsheets/d/1QqKyyYR6Q21VydFLVH3TRQUabQu_ym0Zz7PgGX0-kHA/edit?usp=sharing"",""แผน!EY76"")"),78760)</f>
        <v>78760</v>
      </c>
      <c r="M424" s="45">
        <f ca="1">L424</f>
        <v>78760</v>
      </c>
      <c r="N424" s="45">
        <f>N425+N426+N427+N428</f>
        <v>51840</v>
      </c>
      <c r="O424" s="45">
        <f t="shared" ca="1" si="185"/>
        <v>65.820213306246828</v>
      </c>
      <c r="P424" s="45">
        <f t="shared" ca="1" si="186"/>
        <v>65.820213306246828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40660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11180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IFERROR(__xludf.DUMMYFUNCTION("IMPORTRANGE(""https://docs.google.com/spreadsheets/d/1QqKyyYR6Q21VydFLVH3TRQUabQu_ym0Zz7PgGX0-kHA/edit?usp=sharing"",""แผน!FB76"")"),0)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IFERROR(__xludf.DUMMYFUNCTION("IMPORTRANGE(""https://docs.google.com/spreadsheets/d/1QqKyyYR6Q21VydFLVH3TRQUabQu_ym0Zz7PgGX0-kHA/edit?usp=sharing"",""แผน!FC76"")"),20)</f>
        <v>20</v>
      </c>
      <c r="J435" s="549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IFERROR(__xludf.DUMMYFUNCTION("IMPORTRANGE(""https://docs.google.com/spreadsheets/d/1QqKyyYR6Q21VydFLVH3TRQUabQu_ym0Zz7PgGX0-kHA/edit?usp=sharing"",""แผน!FD76"")"),0)</f>
        <v>0</v>
      </c>
      <c r="J437" s="549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IFERROR(__xludf.DUMMYFUNCTION("IMPORTRANGE(""https://docs.google.com/spreadsheets/d/1QqKyyYR6Q21VydFLVH3TRQUabQu_ym0Zz7PgGX0-kHA/edit?usp=sharing"",""แผน!FE76"")"),0)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IFERROR(__xludf.DUMMYFUNCTION("IMPORTRANGE(""https://docs.google.com/spreadsheets/d/1QqKyyYR6Q21VydFLVH3TRQUabQu_ym0Zz7PgGX0-kHA/edit?usp=sharing"",""แผน!FF76"")"),20)</f>
        <v>20</v>
      </c>
      <c r="J439" s="549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IFERROR(__xludf.DUMMYFUNCTION("IMPORTRANGE(""https://docs.google.com/spreadsheets/d/1QqKyyYR6Q21VydFLVH3TRQUabQu_ym0Zz7PgGX0-kHA/edit?usp=sharing"",""แผน!FG76"")"),1)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IFERROR(__xludf.DUMMYFUNCTION("IMPORTRANGE(""https://docs.google.com/spreadsheets/d/1QqKyyYR6Q21VydFLVH3TRQUabQu_ym0Zz7PgGX0-kHA/edit?usp=sharing"",""แผน!FH76"")"),0)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45</v>
      </c>
      <c r="J442" s="555">
        <f t="shared" si="195"/>
        <v>45</v>
      </c>
      <c r="K442" s="556">
        <f t="shared" ca="1" si="194"/>
        <v>100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200</v>
      </c>
      <c r="J443" s="536">
        <f t="shared" si="196"/>
        <v>200</v>
      </c>
      <c r="K443" s="537">
        <f t="shared" ca="1" si="194"/>
        <v>100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428280</v>
      </c>
      <c r="M444" s="191">
        <f t="shared" ca="1" si="197"/>
        <v>428280</v>
      </c>
      <c r="N444" s="191">
        <f t="shared" si="197"/>
        <v>351202</v>
      </c>
      <c r="O444" s="191">
        <f t="shared" ref="O444:O449" ca="1" si="198">IF(L444&gt;0,N444*100/L444,0)</f>
        <v>82.002895302138782</v>
      </c>
      <c r="P444" s="191">
        <f t="shared" ref="P444:P449" ca="1" si="199">IF(M444&gt;0,N444*100/M444,0)</f>
        <v>82.002895302138782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428280</v>
      </c>
      <c r="M446" s="45">
        <f t="shared" ca="1" si="200"/>
        <v>428280</v>
      </c>
      <c r="N446" s="45">
        <f t="shared" si="200"/>
        <v>351202</v>
      </c>
      <c r="O446" s="45">
        <f t="shared" ca="1" si="198"/>
        <v>82.002895302138782</v>
      </c>
      <c r="P446" s="45">
        <f t="shared" ca="1" si="199"/>
        <v>82.002895302138782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428280</v>
      </c>
      <c r="M447" s="38">
        <f t="shared" ca="1" si="201"/>
        <v>428280</v>
      </c>
      <c r="N447" s="38">
        <f t="shared" si="201"/>
        <v>351202</v>
      </c>
      <c r="O447" s="38">
        <f t="shared" ca="1" si="198"/>
        <v>82.002895302138782</v>
      </c>
      <c r="P447" s="38">
        <f t="shared" ca="1" si="199"/>
        <v>82.002895302138782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IFERROR(__xludf.DUMMYFUNCTION("IMPORTRANGE(""https://docs.google.com/spreadsheets/d/1QqKyyYR6Q21VydFLVH3TRQUabQu_ym0Zz7PgGX0-kHA/edit?usp=sharing"",""แผน!FJ76"")"),428280)</f>
        <v>428280</v>
      </c>
      <c r="M449" s="45">
        <f ca="1">L449</f>
        <v>428280</v>
      </c>
      <c r="N449" s="45">
        <f>N450+N451+N452+N453</f>
        <v>351202</v>
      </c>
      <c r="O449" s="45">
        <f t="shared" ca="1" si="198"/>
        <v>82.002895302138782</v>
      </c>
      <c r="P449" s="45">
        <f t="shared" ca="1" si="199"/>
        <v>82.002895302138782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60600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182500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101402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6700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IFERROR(__xludf.DUMMYFUNCTION("IMPORTRANGE(""https://docs.google.com/spreadsheets/d/1QqKyyYR6Q21VydFLVH3TRQUabQu_ym0Zz7PgGX0-kHA/edit?usp=sharing"",""แผน!FM76"")"),0)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IFERROR(__xludf.DUMMYFUNCTION("IMPORTRANGE(""https://docs.google.com/spreadsheets/d/1QqKyyYR6Q21VydFLVH3TRQUabQu_ym0Zz7PgGX0-kHA/edit?usp=sharing"",""แผน!FN76"")"),45)</f>
        <v>45</v>
      </c>
      <c r="J460" s="181">
        <v>45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IFERROR(__xludf.DUMMYFUNCTION("IMPORTRANGE(""https://docs.google.com/spreadsheets/d/1QqKyyYR6Q21VydFLVH3TRQUabQu_ym0Zz7PgGX0-kHA/edit?usp=sharing"",""แผน!FO76"")"),200)</f>
        <v>200</v>
      </c>
      <c r="J462" s="181">
        <v>200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IFERROR(__xludf.DUMMYFUNCTION("IMPORTRANGE(""https://docs.google.com/spreadsheets/d/1QqKyyYR6Q21VydFLVH3TRQUabQu_ym0Zz7PgGX0-kHA/edit?usp=sharing"",""แผน!FO76"")"),200)</f>
        <v>200</v>
      </c>
      <c r="J463" s="181">
        <v>200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IFERROR(__xludf.DUMMYFUNCTION("IMPORTRANGE(""https://docs.google.com/spreadsheets/d/1QqKyyYR6Q21VydFLVH3TRQUabQu_ym0Zz7PgGX0-kHA/edit?usp=sharing"",""แผน!FN76"")"),45)</f>
        <v>45</v>
      </c>
      <c r="J464" s="181">
        <v>45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IFERROR(__xludf.DUMMYFUNCTION("IMPORTRANGE(""https://docs.google.com/spreadsheets/d/1QqKyyYR6Q21VydFLVH3TRQUabQu_ym0Zz7PgGX0-kHA/edit?usp=sharing"",""แผน!FX76"")"),51)</f>
        <v>51</v>
      </c>
      <c r="J465" s="555">
        <f>J485+J489+J492</f>
        <v>51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IFERROR(__xludf.DUMMYFUNCTION("IMPORTRANGE(""https://docs.google.com/spreadsheets/d/1QqKyyYR6Q21VydFLVH3TRQUabQu_ym0Zz7PgGX0-kHA/edit?usp=sharing"",""แผน!FW76"")"),500)</f>
        <v>500</v>
      </c>
      <c r="J466" s="536">
        <f>J495+J498</f>
        <v>500</v>
      </c>
      <c r="K466" s="537">
        <f t="shared" ca="1" si="205"/>
        <v>100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413113</v>
      </c>
      <c r="M467" s="191">
        <f t="shared" ca="1" si="206"/>
        <v>413113</v>
      </c>
      <c r="N467" s="191">
        <f t="shared" si="206"/>
        <v>393783</v>
      </c>
      <c r="O467" s="191">
        <f t="shared" ref="O467:O472" ca="1" si="207">IF(L467&gt;0,N467*100/L467,0)</f>
        <v>95.320892830775108</v>
      </c>
      <c r="P467" s="191">
        <f t="shared" ref="P467:P472" ca="1" si="208">IF(M467&gt;0,N467*100/M467,0)</f>
        <v>95.320892830775108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413113</v>
      </c>
      <c r="M469" s="45">
        <f t="shared" ca="1" si="209"/>
        <v>413113</v>
      </c>
      <c r="N469" s="45">
        <f t="shared" si="209"/>
        <v>393783</v>
      </c>
      <c r="O469" s="45">
        <f t="shared" ca="1" si="207"/>
        <v>95.320892830775108</v>
      </c>
      <c r="P469" s="45">
        <f t="shared" ca="1" si="208"/>
        <v>95.320892830775108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413113</v>
      </c>
      <c r="M470" s="38">
        <f t="shared" ca="1" si="210"/>
        <v>413113</v>
      </c>
      <c r="N470" s="38">
        <f t="shared" si="210"/>
        <v>393783</v>
      </c>
      <c r="O470" s="38">
        <f t="shared" ca="1" si="207"/>
        <v>95.320892830775108</v>
      </c>
      <c r="P470" s="38">
        <f t="shared" ca="1" si="208"/>
        <v>95.320892830775108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IFERROR(__xludf.DUMMYFUNCTION("IMPORTRANGE(""https://docs.google.com/spreadsheets/d/1QqKyyYR6Q21VydFLVH3TRQUabQu_ym0Zz7PgGX0-kHA/edit?usp=sharing"",""แผน!FS76"")"),413113)</f>
        <v>413113</v>
      </c>
      <c r="M472" s="45">
        <f ca="1">L472</f>
        <v>413113</v>
      </c>
      <c r="N472" s="45">
        <f>N473+N474+N475+N476</f>
        <v>393783</v>
      </c>
      <c r="O472" s="45">
        <f t="shared" ca="1" si="207"/>
        <v>95.320892830775108</v>
      </c>
      <c r="P472" s="45">
        <f t="shared" ca="1" si="208"/>
        <v>95.320892830775108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69583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f>4000+310000</f>
        <v>314000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10200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IFERROR(__xludf.DUMMYFUNCTION("IMPORTRANGE(""https://docs.google.com/spreadsheets/d/1QqKyyYR6Q21VydFLVH3TRQUabQu_ym0Zz7PgGX0-kHA/edit?usp=sharing"",""แผน!FV76"")"),0)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IFERROR(__xludf.DUMMYFUNCTION("IMPORTRANGE(""https://docs.google.com/spreadsheets/d/1QqKyyYR6Q21VydFLVH3TRQUabQu_ym0Zz7PgGX0-kHA/edit?usp=sharing"",""แผน!FY76"")"),450)</f>
        <v>450</v>
      </c>
      <c r="J483" s="181">
        <v>450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45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IFERROR(__xludf.DUMMYFUNCTION("IMPORTRANGE(""https://docs.google.com/spreadsheets/d/1QqKyyYR6Q21VydFLVH3TRQUabQu_ym0Zz7PgGX0-kHA/edit?usp=sharing"",""แผน!FZ76"")"),45)</f>
        <v>45</v>
      </c>
      <c r="J485" s="181">
        <v>45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IFERROR(__xludf.DUMMYFUNCTION("IMPORTRANGE(""https://docs.google.com/spreadsheets/d/1QqKyyYR6Q21VydFLVH3TRQUabQu_ym0Zz7PgGX0-kHA/edit?usp=sharing"",""แผน!GA76"")"),50)</f>
        <v>50</v>
      </c>
      <c r="J487" s="181">
        <v>50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5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IFERROR(__xludf.DUMMYFUNCTION("IMPORTRANGE(""https://docs.google.com/spreadsheets/d/1QqKyyYR6Q21VydFLVH3TRQUabQu_ym0Zz7PgGX0-kHA/edit?usp=sharing"",""แผน!GB76"")"),5)</f>
        <v>5</v>
      </c>
      <c r="J489" s="181">
        <v>5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IFERROR(__xludf.DUMMYFUNCTION("IMPORTRANGE(""https://docs.google.com/spreadsheets/d/1QqKyyYR6Q21VydFLVH3TRQUabQu_ym0Zz7PgGX0-kHA/edit?usp=sharing"",""แผน!GC76"")"),1)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IFERROR(__xludf.DUMMYFUNCTION("IMPORTRANGE(""https://docs.google.com/spreadsheets/d/1QqKyyYR6Q21VydFLVH3TRQUabQu_ym0Zz7PgGX0-kHA/edit?usp=sharing"",""แผน!FY76"")"),450)</f>
        <v>450</v>
      </c>
      <c r="J495" s="181">
        <v>450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450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IFERROR(__xludf.DUMMYFUNCTION("IMPORTRANGE(""https://docs.google.com/spreadsheets/d/1QqKyyYR6Q21VydFLVH3TRQUabQu_ym0Zz7PgGX0-kHA/edit?usp=sharing"",""แผน!GA76"")"),50)</f>
        <v>50</v>
      </c>
      <c r="J498" s="181">
        <v>50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50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50</v>
      </c>
      <c r="J522" s="630">
        <f t="shared" ca="1" si="225"/>
        <v>50</v>
      </c>
      <c r="K522" s="631">
        <f ca="1">IF(I522&gt;0,J522*100/I522,0)</f>
        <v>100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440560</v>
      </c>
      <c r="M523" s="191">
        <f t="shared" ca="1" si="226"/>
        <v>440560</v>
      </c>
      <c r="N523" s="191">
        <f t="shared" si="226"/>
        <v>420140</v>
      </c>
      <c r="O523" s="191">
        <f t="shared" ref="O523:O528" ca="1" si="227">IF(L523&gt;0,N523*100/L523,0)</f>
        <v>95.36499001271109</v>
      </c>
      <c r="P523" s="191">
        <f t="shared" ref="P523:P528" ca="1" si="228">IF(M523&gt;0,N523*100/M523,0)</f>
        <v>95.36499001271109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440560</v>
      </c>
      <c r="M525" s="45">
        <f t="shared" ca="1" si="229"/>
        <v>440560</v>
      </c>
      <c r="N525" s="45">
        <f t="shared" si="229"/>
        <v>420140</v>
      </c>
      <c r="O525" s="45">
        <f t="shared" ca="1" si="227"/>
        <v>95.36499001271109</v>
      </c>
      <c r="P525" s="45">
        <f t="shared" ca="1" si="228"/>
        <v>95.36499001271109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440560</v>
      </c>
      <c r="M526" s="38">
        <f t="shared" ca="1" si="230"/>
        <v>440560</v>
      </c>
      <c r="N526" s="38">
        <f t="shared" si="230"/>
        <v>420140</v>
      </c>
      <c r="O526" s="38">
        <f t="shared" ca="1" si="227"/>
        <v>95.36499001271109</v>
      </c>
      <c r="P526" s="38">
        <f t="shared" ca="1" si="228"/>
        <v>95.36499001271109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IFERROR(__xludf.DUMMYFUNCTION("IMPORTRANGE(""https://docs.google.com/spreadsheets/d/1QqKyyYR6Q21VydFLVH3TRQUabQu_ym0Zz7PgGX0-kHA/edit?usp=sharing"",""แผน!GQ76"")"),440560)</f>
        <v>440560</v>
      </c>
      <c r="M528" s="45">
        <f ca="1">L528</f>
        <v>440560</v>
      </c>
      <c r="N528" s="45">
        <f>N529+N530+N531+N532</f>
        <v>420140</v>
      </c>
      <c r="O528" s="45">
        <f t="shared" ca="1" si="227"/>
        <v>95.36499001271109</v>
      </c>
      <c r="P528" s="45">
        <f t="shared" ca="1" si="228"/>
        <v>95.36499001271109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148220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250000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21920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IFERROR(__xludf.DUMMYFUNCTION("IMPORTRANGE(""https://docs.google.com/spreadsheets/d/1QqKyyYR6Q21VydFLVH3TRQUabQu_ym0Zz7PgGX0-kHA/edit?usp=sharing"",""แผน!GT76"")"),0)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IFERROR(__xludf.DUMMYFUNCTION("IMPORTRANGE(""https://docs.google.com/spreadsheets/d/1QqKyyYR6Q21VydFLVH3TRQUabQu_ym0Zz7PgGX0-kHA/edit?usp=sharing"",""แผน!GU76"")"),50)</f>
        <v>50</v>
      </c>
      <c r="J537" s="190">
        <f ca="1">IF(AND(J538=I538,J539=I539,J540=I540,J541=I541),I537,0)</f>
        <v>50</v>
      </c>
      <c r="K537" s="38">
        <f t="shared" ref="K537:K543" ca="1" si="234">IF(I537&gt;0,J537*100/I537,0)</f>
        <v>100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IFERROR(__xludf.DUMMYFUNCTION("IMPORTRANGE(""https://docs.google.com/spreadsheets/d/1QqKyyYR6Q21VydFLVH3TRQUabQu_ym0Zz7PgGX0-kHA/edit?usp=sharing"",""แผน!GV76"")"),50)</f>
        <v>50</v>
      </c>
      <c r="J538" s="181">
        <v>50</v>
      </c>
      <c r="K538" s="38">
        <f t="shared" ca="1" si="234"/>
        <v>100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IFERROR(__xludf.DUMMYFUNCTION("IMPORTRANGE(""https://docs.google.com/spreadsheets/d/1QqKyyYR6Q21VydFLVH3TRQUabQu_ym0Zz7PgGX0-kHA/edit?usp=sharing"",""แผน!GW76"")"),50)</f>
        <v>50</v>
      </c>
      <c r="J539" s="181">
        <v>50</v>
      </c>
      <c r="K539" s="38">
        <f t="shared" ca="1" si="234"/>
        <v>100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IFERROR(__xludf.DUMMYFUNCTION("IMPORTRANGE(""https://docs.google.com/spreadsheets/d/1QqKyyYR6Q21VydFLVH3TRQUabQu_ym0Zz7PgGX0-kHA/edit?usp=sharing"",""แผน!GX76"")"),50)</f>
        <v>50</v>
      </c>
      <c r="J540" s="181">
        <v>50</v>
      </c>
      <c r="K540" s="38">
        <f t="shared" ca="1" si="234"/>
        <v>100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IFERROR(__xludf.DUMMYFUNCTION("IMPORTRANGE(""https://docs.google.com/spreadsheets/d/1QqKyyYR6Q21VydFLVH3TRQUabQu_ym0Zz7PgGX0-kHA/edit?usp=sharing"",""แผน!GY76"")"),0)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IFERROR(__xludf.DUMMYFUNCTION("IMPORTRANGE(""https://docs.google.com/spreadsheets/d/1QqKyyYR6Q21VydFLVH3TRQUabQu_ym0Zz7PgGX0-kHA/edit?usp=sharing"",""แผน!GZ76"")"),50)</f>
        <v>50</v>
      </c>
      <c r="J542" s="181">
        <v>50</v>
      </c>
      <c r="K542" s="38">
        <f t="shared" ca="1" si="234"/>
        <v>100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72063</v>
      </c>
      <c r="J543" s="638">
        <f t="shared" si="235"/>
        <v>72064</v>
      </c>
      <c r="K543" s="639">
        <f t="shared" ca="1" si="234"/>
        <v>100.00138767467355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759123</v>
      </c>
      <c r="M544" s="154">
        <f t="shared" ca="1" si="236"/>
        <v>759123</v>
      </c>
      <c r="N544" s="154">
        <f t="shared" si="236"/>
        <v>556087.05000000005</v>
      </c>
      <c r="O544" s="154">
        <f t="shared" ref="O544:O549" ca="1" si="237">IF(L544&gt;0,N544*100/L544,0)</f>
        <v>73.25387980603935</v>
      </c>
      <c r="P544" s="154">
        <f t="shared" ref="P544:P549" ca="1" si="238">IF(M544&gt;0,N544*100/M544,0)</f>
        <v>73.25387980603935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759123</v>
      </c>
      <c r="M546" s="45">
        <f t="shared" ca="1" si="240"/>
        <v>759123</v>
      </c>
      <c r="N546" s="45">
        <f t="shared" si="240"/>
        <v>556087.05000000005</v>
      </c>
      <c r="O546" s="45">
        <f t="shared" ca="1" si="237"/>
        <v>73.25387980603935</v>
      </c>
      <c r="P546" s="45">
        <f t="shared" ca="1" si="238"/>
        <v>73.25387980603935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759123</v>
      </c>
      <c r="M547" s="38">
        <f t="shared" ca="1" si="241"/>
        <v>759123</v>
      </c>
      <c r="N547" s="38">
        <f t="shared" si="241"/>
        <v>556087.05000000005</v>
      </c>
      <c r="O547" s="38">
        <f t="shared" ca="1" si="237"/>
        <v>73.25387980603935</v>
      </c>
      <c r="P547" s="38">
        <f t="shared" ca="1" si="238"/>
        <v>73.25387980603935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IFERROR(__xludf.DUMMYFUNCTION("IMPORTRANGE(""https://docs.google.com/spreadsheets/d/1QqKyyYR6Q21VydFLVH3TRQUabQu_ym0Zz7PgGX0-kHA/edit?usp=sharing"",""แผน!HB76"")"),759123)</f>
        <v>759123</v>
      </c>
      <c r="M549" s="45">
        <f ca="1">L549</f>
        <v>759123</v>
      </c>
      <c r="N549" s="45">
        <f>N550+N551+N552+N553+N554</f>
        <v>556087.05000000005</v>
      </c>
      <c r="O549" s="45">
        <f t="shared" ca="1" si="237"/>
        <v>73.25387980603935</v>
      </c>
      <c r="P549" s="45">
        <f t="shared" ca="1" si="238"/>
        <v>73.25387980603935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115701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440386.05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827">
        <v>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IFERROR(__xludf.DUMMYFUNCTION("IMPORTRANGE(""https://docs.google.com/spreadsheets/d/1QqKyyYR6Q21VydFLVH3TRQUabQu_ym0Zz7PgGX0-kHA/edit?usp=sharing"",""แผน!HF76"")"),0)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72063</v>
      </c>
      <c r="J559" s="630">
        <f t="shared" si="245"/>
        <v>72064</v>
      </c>
      <c r="K559" s="631">
        <f t="shared" ref="K559:K561" ca="1" si="246">IF(I559&gt;0,J559*100/I559,0)</f>
        <v>100.00138767467355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IFERROR(__xludf.DUMMYFUNCTION("IMPORTRANGE(""https://docs.google.com/spreadsheets/d/1QqKyyYR6Q21VydFLVH3TRQUabQu_ym0Zz7PgGX0-kHA/edit?usp=sharing"",""แผน!HH76"")"),72063)</f>
        <v>72063</v>
      </c>
      <c r="J560" s="189">
        <f t="shared" ref="J560:J561" si="247">J562+J564+J566</f>
        <v>72063</v>
      </c>
      <c r="K560" s="391">
        <f t="shared" ca="1" si="246"/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IFERROR(__xludf.DUMMYFUNCTION("IMPORTRANGE(""https://docs.google.com/spreadsheets/d/1QqKyyYR6Q21VydFLVH3TRQUabQu_ym0Zz7PgGX0-kHA/edit?usp=sharing"",""แผน!HG76"")"),5898)</f>
        <v>5898</v>
      </c>
      <c r="J561" s="189">
        <f t="shared" si="247"/>
        <v>5898</v>
      </c>
      <c r="K561" s="391">
        <f t="shared" ca="1" si="246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63211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5198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7386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567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1466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133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IFERROR(__xludf.DUMMYFUNCTION("IMPORTRANGE(""https://docs.google.com/spreadsheets/d/1QqKyyYR6Q21VydFLVH3TRQUabQu_ym0Zz7PgGX0-kHA/edit?usp=sharing"",""แผน!HH76"")"),72063)</f>
        <v>72063</v>
      </c>
      <c r="J568" s="190">
        <f t="shared" ref="J568:J569" si="248">J570+J572+J574</f>
        <v>72064</v>
      </c>
      <c r="K568" s="391">
        <f t="shared" ref="K568:K569" ca="1" si="249">IF(I568&gt;0,J568*100/I568,0)</f>
        <v>100.00138767467355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IFERROR(__xludf.DUMMYFUNCTION("IMPORTRANGE(""https://docs.google.com/spreadsheets/d/1QqKyyYR6Q21VydFLVH3TRQUabQu_ym0Zz7PgGX0-kHA/edit?usp=sharing"",""แผน!HG76"")"),5898)</f>
        <v>5898</v>
      </c>
      <c r="J569" s="190">
        <f t="shared" si="248"/>
        <v>5898</v>
      </c>
      <c r="K569" s="391">
        <f t="shared" ca="1" si="249"/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63638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5234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6893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529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1533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135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IFERROR(__xludf.DUMMYFUNCTION("IMPORTRANGE(""https://docs.google.com/spreadsheets/d/1QqKyyYR6Q21VydFLVH3TRQUabQu_ym0Zz7PgGX0-kHA/edit?usp=sharing"",""แผน!HH76"")"),72063)</f>
        <v>72063</v>
      </c>
      <c r="J576" s="190">
        <f t="shared" ref="J576:J577" si="250">J578+J580+J582+J588+J590</f>
        <v>72064</v>
      </c>
      <c r="K576" s="391">
        <f t="shared" ref="K576:K577" ca="1" si="251">IF(I576&gt;0,J576*100/I576,0)</f>
        <v>100.00138767467355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IFERROR(__xludf.DUMMYFUNCTION("IMPORTRANGE(""https://docs.google.com/spreadsheets/d/1QqKyyYR6Q21VydFLVH3TRQUabQu_ym0Zz7PgGX0-kHA/edit?usp=sharing"",""แผน!HG76"")"),5898)</f>
        <v>5898</v>
      </c>
      <c r="J577" s="190">
        <f t="shared" si="250"/>
        <v>5898</v>
      </c>
      <c r="K577" s="391">
        <f t="shared" ca="1" si="251"/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63638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5234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6893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529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1533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135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1533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135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/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/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11583.05</v>
      </c>
      <c r="J592" s="630">
        <f t="shared" si="253"/>
        <v>8939</v>
      </c>
      <c r="K592" s="631">
        <f t="shared" ref="K592:K594" ca="1" si="254">IF(I592&gt;0,J592*100/I592,0)</f>
        <v>77.173110709182822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IFERROR(__xludf.DUMMYFUNCTION("IMPORTRANGE(""https://docs.google.com/spreadsheets/d/1QqKyyYR6Q21VydFLVH3TRQUabQu_ym0Zz7PgGX0-kHA/edit?usp=sharing"",""แผน!HJ76"")"),11583.05)</f>
        <v>11583.05</v>
      </c>
      <c r="J593" s="189">
        <f t="shared" ref="J593:J594" si="255">J595+J603+J609</f>
        <v>8939</v>
      </c>
      <c r="K593" s="391">
        <f t="shared" ca="1" si="254"/>
        <v>77.173110709182822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IFERROR(__xludf.DUMMYFUNCTION("IMPORTRANGE(""https://docs.google.com/spreadsheets/d/1QqKyyYR6Q21VydFLVH3TRQUabQu_ym0Zz7PgGX0-kHA/edit?usp=sharing"",""แผน!HI76"")"),1156)</f>
        <v>1156</v>
      </c>
      <c r="J594" s="189">
        <f t="shared" si="255"/>
        <v>884</v>
      </c>
      <c r="K594" s="391">
        <f t="shared" ca="1" si="254"/>
        <v>76.470588235294116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8935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883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8926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881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9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2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4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1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4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1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 hidden="1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 hidden="1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IFERROR(__xludf.DUMMYFUNCTION("IMPORTRANGE(""https://docs.google.com/spreadsheets/d/1QqKyyYR6Q21VydFLVH3TRQUabQu_ym0Zz7PgGX0-kHA/edit?usp=sharing"",""แผน!HL76"")"),0)</f>
        <v>0</v>
      </c>
      <c r="J620" s="675">
        <f t="shared" ref="J620:J621" si="260">J622+J624+J626</f>
        <v>0</v>
      </c>
      <c r="K620" s="676">
        <f t="shared" ref="K620:K621" ca="1" si="261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 hidden="1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IFERROR(__xludf.DUMMYFUNCTION("IMPORTRANGE(""https://docs.google.com/spreadsheets/d/1QqKyyYR6Q21VydFLVH3TRQUabQu_ym0Zz7PgGX0-kHA/edit?usp=sharing"",""แผน!HK76"")"),0)</f>
        <v>0</v>
      </c>
      <c r="J621" s="675">
        <f t="shared" si="260"/>
        <v>0</v>
      </c>
      <c r="K621" s="676">
        <f t="shared" ca="1" si="261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 hidden="1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 hidden="1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 hidden="1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 hidden="1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 hidden="1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 hidden="1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 hidden="1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0</v>
      </c>
      <c r="J628" s="686">
        <f t="shared" ca="1" si="262"/>
        <v>0</v>
      </c>
      <c r="K628" s="687">
        <f ca="1">IF(I628&gt;0,J628*100/I628,0)</f>
        <v>0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 hidden="1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 hidden="1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IFERROR(__xludf.DUMMYFUNCTION("IMPORTRANGE(""https://docs.google.com/spreadsheets/d/1QqKyyYR6Q21VydFLVH3TRQUabQu_ym0Zz7PgGX0-kHA/edit?usp=sharing"",""แผน!HN76"")"),0)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 hidden="1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 hidden="1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 hidden="1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 hidden="1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 hidden="1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IFERROR(__xludf.DUMMYFUNCTION("IMPORTRANGE(""https://docs.google.com/spreadsheets/d/1QqKyyYR6Q21VydFLVH3TRQUabQu_ym0Zz7PgGX0-kHA/edit?usp=sharing"",""แผน!HQ76"")"),0)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 hidden="1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 hidden="1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IFERROR(__xludf.DUMMYFUNCTION("IMPORTRANGE(""https://docs.google.com/spreadsheets/d/1QqKyyYR6Q21VydFLVH3TRQUabQu_ym0Zz7PgGX0-kHA/edit?usp=sharing"",""แผน!HR76"")"),0)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 hidden="1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IFERROR(__xludf.DUMMYFUNCTION("IMPORTRANGE(""https://docs.google.com/spreadsheets/d/1QqKyyYR6Q21VydFLVH3TRQUabQu_ym0Zz7PgGX0-kHA/edit?usp=sharing"",""แผน!HR76"")"),0)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 hidden="1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IFERROR(__xludf.DUMMYFUNCTION("IMPORTRANGE(""https://docs.google.com/spreadsheets/d/1XWAQStnk-4SwqDmLtmXYiTMKHgktTP8We1SCoS47DrQ/edit?usp=sharing"",""จัดที่ดิน!AS76"")"),0)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 hidden="1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IFERROR(__xludf.DUMMYFUNCTION("IMPORTRANGE(""https://docs.google.com/spreadsheets/d/1XWAQStnk-4SwqDmLtmXYiTMKHgktTP8We1SCoS47DrQ/edit?usp=sharing"",""จัดที่ดิน!AT76"")"),0)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 hidden="1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IFERROR(__xludf.DUMMYFUNCTION("IMPORTRANGE(""https://docs.google.com/spreadsheets/d/1QqKyyYR6Q21VydFLVH3TRQUabQu_ym0Zz7PgGX0-kHA/edit?usp=sharing"",""แผน!HS76"")"),0)</f>
        <v>0</v>
      </c>
      <c r="J647" s="37">
        <f ca="1">IFERROR(__xludf.DUMMYFUNCTION("IMPORTRANGE(""https://docs.google.com/spreadsheets/d/1XWAQStnk-4SwqDmLtmXYiTMKHgktTP8We1SCoS47DrQ/edit?usp=sharing"",""จัดที่ดิน!AU76"")"),0)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 hidden="1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IFERROR(__xludf.DUMMYFUNCTION("IMPORTRANGE(""https://docs.google.com/spreadsheets/d/1XWAQStnk-4SwqDmLtmXYiTMKHgktTP8We1SCoS47DrQ/edit?usp=sharing"",""จัดที่ดิน!AV76"")"),0)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 hidden="1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IFERROR(__xludf.DUMMYFUNCTION("IMPORTRANGE(""https://docs.google.com/spreadsheets/d/1QqKyyYR6Q21VydFLVH3TRQUabQu_ym0Zz7PgGX0-kHA/edit?usp=sharing"",""แผน!HS76"")"),0)</f>
        <v>0</v>
      </c>
      <c r="J649" s="37">
        <f ca="1">IFERROR(__xludf.DUMMYFUNCTION("IMPORTRANGE(""https://docs.google.com/spreadsheets/d/1XWAQStnk-4SwqDmLtmXYiTMKHgktTP8We1SCoS47DrQ/edit?usp=sharing"",""จัดที่ดิน!AW76"")"),0)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 hidden="1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IFERROR(__xludf.DUMMYFUNCTION("IMPORTRANGE(""https://docs.google.com/spreadsheets/d/1XWAQStnk-4SwqDmLtmXYiTMKHgktTP8We1SCoS47DrQ/edit?usp=sharing"",""จัดที่ดิน!AX76"")"),0)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 hidden="1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IFERROR(__xludf.DUMMYFUNCTION("IMPORTRANGE(""https://docs.google.com/spreadsheets/d/1QqKyyYR6Q21VydFLVH3TRQUabQu_ym0Zz7PgGX0-kHA/edit?usp=sharing"",""แผน!HS76"")"),0)</f>
        <v>0</v>
      </c>
      <c r="J651" s="37">
        <f ca="1">IFERROR(__xludf.DUMMYFUNCTION("IMPORTRANGE(""https://docs.google.com/spreadsheets/d/1XWAQStnk-4SwqDmLtmXYiTMKHgktTP8We1SCoS47DrQ/edit?usp=sharing"",""จัดที่ดิน!AY76"")"),0)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 hidden="1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IFERROR(__xludf.DUMMYFUNCTION("IMPORTRANGE(""https://docs.google.com/spreadsheets/d/1XWAQStnk-4SwqDmLtmXYiTMKHgktTP8We1SCoS47DrQ/edit?usp=sharing"",""จัดที่ดิน!AZ76"")"),0)</f>
        <v>0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 hidden="1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 hidden="1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 hidden="1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 hidden="1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IFERROR(__xludf.DUMMYFUNCTION("IMPORTRANGE(""https://docs.google.com/spreadsheets/d/1QqKyyYR6Q21VydFLVH3TRQUabQu_ym0Zz7PgGX0-kHA/edit?usp=sharing"",""แผน!HV76"")"),0)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 hidden="1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 hidden="1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 hidden="1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 hidden="1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 hidden="1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 hidden="1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 hidden="1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IFERROR(__xludf.DUMMYFUNCTION("IMPORTRANGE(""https://docs.google.com/spreadsheets/d/1QqKyyYR6Q21VydFLVH3TRQUabQu_ym0Zz7PgGX0-kHA/edit?usp=sharing"",""แผน!IA76"")"),0)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 hidden="1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IFERROR(__xludf.DUMMYFUNCTION("IMPORTRANGE(""https://docs.google.com/spreadsheets/d/1QqKyyYR6Q21VydFLVH3TRQUabQu_ym0Zz7PgGX0-kHA/edit?usp=sharing"",""แผน!HZ76"")"),0)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 hidden="1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IFERROR(__xludf.DUMMYFUNCTION("IMPORTRANGE(""https://docs.google.com/spreadsheets/d/1QqKyyYR6Q21VydFLVH3TRQUabQu_ym0Zz7PgGX0-kHA/edit?usp=sharing"",""แผน!HZ76"")"),0)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 hidden="1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 hidden="1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 hidden="1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 hidden="1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 hidden="1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 hidden="1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 hidden="1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IFERROR(__xludf.DUMMYFUNCTION("IMPORTRANGE(""https://docs.google.com/spreadsheets/d/1QqKyyYR6Q21VydFLVH3TRQUabQu_ym0Zz7PgGX0-kHA/edit?usp=sharing"",""แผน!IB76"")"),0)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 hidden="1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 hidden="1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 hidden="1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 hidden="1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 hidden="1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 hidden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 hidden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 hidden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IFERROR(__xludf.DUMMYFUNCTION("IMPORTRANGE(""https://docs.google.com/spreadsheets/d/1QqKyyYR6Q21VydFLVH3TRQUabQu_ym0Zz7PgGX0-kHA/edit?usp=sharing"",""แผน!HW76"")"),0)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 hidden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 hidden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 hidden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 hidden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 hidden="1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 hidden="1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 hidden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IFERROR(__xludf.DUMMYFUNCTION("IMPORTRANGE(""https://docs.google.com/spreadsheets/d/1QqKyyYR6Q21VydFLVH3TRQUabQu_ym0Zz7PgGX0-kHA/edit?usp=sharing"",""แผน!IC76"")"),0)</f>
        <v>0</v>
      </c>
      <c r="J699" s="37">
        <f ca="1">IFERROR(__xludf.DUMMYFUNCTION("IMPORTRANGE(""https://docs.google.com/spreadsheets/d/1XWAQStnk-4SwqDmLtmXYiTMKHgktTP8We1SCoS47DrQ/edit?usp=sharing"",""จัดที่ดิน!BB76"")"),0)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 hidden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IFERROR(__xludf.DUMMYFUNCTION("IMPORTRANGE(""https://docs.google.com/spreadsheets/d/1QqKyyYR6Q21VydFLVH3TRQUabQu_ym0Zz7PgGX0-kHA/edit?usp=sharing"",""แผน!ID76"")"),0)</f>
        <v>0</v>
      </c>
      <c r="J700" s="37">
        <f ca="1">IFERROR(__xludf.DUMMYFUNCTION("IMPORTRANGE(""https://docs.google.com/spreadsheets/d/1XWAQStnk-4SwqDmLtmXYiTMKHgktTP8We1SCoS47DrQ/edit?usp=sharing"",""จัดที่ดิน!BD76"")"),0)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 hidden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IFERROR(__xludf.DUMMYFUNCTION("IMPORTRANGE(""https://docs.google.com/spreadsheets/d/1QqKyyYR6Q21VydFLVH3TRQUabQu_ym0Zz7PgGX0-kHA/edit?usp=sharing"",""แผน!IE76"")"),0)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 hidden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 hidden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 hidden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IFERROR(__xludf.DUMMYFUNCTION("IMPORTRANGE(""https://docs.google.com/spreadsheets/d/1QqKyyYR6Q21VydFLVH3TRQUabQu_ym0Zz7PgGX0-kHA/edit?usp=sharing"",""แผน!IF76"")"),0)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 hidden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 hidden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 hidden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IFERROR(__xludf.DUMMYFUNCTION("IMPORTRANGE(""https://docs.google.com/spreadsheets/d/1QqKyyYR6Q21VydFLVH3TRQUabQu_ym0Zz7PgGX0-kHA/edit?usp=sharing"",""แผน!IG76"")"),0)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 hidden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IFERROR(__xludf.DUMMYFUNCTION("IMPORTRANGE(""https://docs.google.com/spreadsheets/d/1QqKyyYR6Q21VydFLVH3TRQUabQu_ym0Zz7PgGX0-kHA/edit?usp=sharing"",""แผน!IH76"")"),0)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 hidden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 hidden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 hidden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 hidden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 hidden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 hidden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 hidden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 hidden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 hidden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 hidden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IFERROR(__xludf.DUMMYFUNCTION("IMPORTRANGE(""https://docs.google.com/spreadsheets/d/1XWAQStnk-4SwqDmLtmXYiTMKHgktTP8We1SCoS47DrQ/edit?usp=sharing"",""จัดที่ดิน!BF76"")"),0)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 hidden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IFERROR(__xludf.DUMMYFUNCTION("IMPORTRANGE(""https://docs.google.com/spreadsheets/d/1XWAQStnk-4SwqDmLtmXYiTMKHgktTP8We1SCoS47DrQ/edit?usp=sharing"",""จัดที่ดิน!BG76"")"),0)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 hidden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IFERROR(__xludf.DUMMYFUNCTION("IMPORTRANGE(""https://docs.google.com/spreadsheets/d/1QqKyyYR6Q21VydFLVH3TRQUabQu_ym0Zz7PgGX0-kHA/edit?usp=sharing"",""แผน!II76"")"),0)</f>
        <v>0</v>
      </c>
      <c r="J720" s="37">
        <f ca="1">IFERROR(__xludf.DUMMYFUNCTION("IMPORTRANGE(""https://docs.google.com/spreadsheets/d/1XWAQStnk-4SwqDmLtmXYiTMKHgktTP8We1SCoS47DrQ/edit?usp=sharing"",""จัดที่ดิน!BH76"")"),0)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 hidden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IFERROR(__xludf.DUMMYFUNCTION("IMPORTRANGE(""https://docs.google.com/spreadsheets/d/1QqKyyYR6Q21VydFLVH3TRQUabQu_ym0Zz7PgGX0-kHA/edit?usp=sharing"",""แผน!IJ76"")"),0)</f>
        <v>0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 hidden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IFERROR(__xludf.DUMMYFUNCTION("IMPORTRANGE(""https://docs.google.com/spreadsheets/d/1QqKyyYR6Q21VydFLVH3TRQUabQu_ym0Zz7PgGX0-kHA/edit?usp=sharing"",""แผน!IK76"")"),0)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 hidden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IFERROR(__xludf.DUMMYFUNCTION("IMPORTRANGE(""https://docs.google.com/spreadsheets/d/1QqKyyYR6Q21VydFLVH3TRQUabQu_ym0Zz7PgGX0-kHA/edit?usp=sharing"",""แผน!IL76"")"),0)</f>
        <v>0</v>
      </c>
      <c r="J723" s="37">
        <f ca="1">IFERROR(__xludf.DUMMYFUNCTION("IMPORTRANGE(""https://docs.google.com/spreadsheets/d/1XWAQStnk-4SwqDmLtmXYiTMKHgktTP8We1SCoS47DrQ/edit?usp=sharing"",""จัดที่ดิน!BM76"")"),0)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 hidden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IFERROR(__xludf.DUMMYFUNCTION("IMPORTRANGE(""https://docs.google.com/spreadsheets/d/1XWAQStnk-4SwqDmLtmXYiTMKHgktTP8We1SCoS47DrQ/edit?usp=sharing"",""จัดที่ดิน!BN76"")"),0)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 hidden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IFERROR(__xludf.DUMMYFUNCTION("IMPORTRANGE(""https://docs.google.com/spreadsheets/d/1QqKyyYR6Q21VydFLVH3TRQUabQu_ym0Zz7PgGX0-kHA/edit?usp=sharing"",""แผน!IM76"")"),0)</f>
        <v>0</v>
      </c>
      <c r="J725" s="37">
        <f ca="1">IFERROR(__xludf.DUMMYFUNCTION("IMPORTRANGE(""https://docs.google.com/spreadsheets/d/1XWAQStnk-4SwqDmLtmXYiTMKHgktTP8We1SCoS47DrQ/edit?usp=sharing"",""จัดที่ดิน!BO76"")"),0)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 hidden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IFERROR(__xludf.DUMMYFUNCTION("IMPORTRANGE(""https://docs.google.com/spreadsheets/d/1QqKyyYR6Q21VydFLVH3TRQUabQu_ym0Zz7PgGX0-kHA/edit?usp=sharing"",""แผน!IN76"")"),0)</f>
        <v>0</v>
      </c>
      <c r="J726" s="37">
        <f ca="1">IFERROR(__xludf.DUMMYFUNCTION("IMPORTRANGE(""https://docs.google.com/spreadsheets/d/1XWAQStnk-4SwqDmLtmXYiTMKHgktTP8We1SCoS47DrQ/edit?usp=sharing"",""จัดที่ดิน!BR76"")"),0)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 hidden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IFERROR(__xludf.DUMMYFUNCTION("IMPORTRANGE(""https://docs.google.com/spreadsheets/d/1XWAQStnk-4SwqDmLtmXYiTMKHgktTP8We1SCoS47DrQ/edit?usp=sharing"",""จัดที่ดิน!BS76"")"),0)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 hidden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IFERROR(__xludf.DUMMYFUNCTION("IMPORTRANGE(""https://docs.google.com/spreadsheets/d/1QqKyyYR6Q21VydFLVH3TRQUabQu_ym0Zz7PgGX0-kHA/edit?usp=sharing"",""แผน!IO76"")"),0)</f>
        <v>0</v>
      </c>
      <c r="J728" s="37">
        <f ca="1">IFERROR(__xludf.DUMMYFUNCTION("IMPORTRANGE(""https://docs.google.com/spreadsheets/d/1XWAQStnk-4SwqDmLtmXYiTMKHgktTP8We1SCoS47DrQ/edit?usp=sharing"",""จัดที่ดิน!BT76"")"),0)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 hidden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IFERROR(__xludf.DUMMYFUNCTION("IMPORTRANGE(""https://docs.google.com/spreadsheets/d/1QqKyyYR6Q21VydFLVH3TRQUabQu_ym0Zz7PgGX0-kHA/edit?usp=sharing"",""แผน!IP76"")"),0)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 hidden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 hidden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 hidden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 hidden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 hidden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 hidden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IFERROR(__xludf.DUMMYFUNCTION("IMPORTRANGE(""https://docs.google.com/spreadsheets/d/1QqKyyYR6Q21VydFLVH3TRQUabQu_ym0Zz7PgGX0-kHA/edit?usp=sharing"",""แผน!JJ76"")"),0)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IFERROR(__xludf.DUMMYFUNCTION("IMPORTRANGE(""https://docs.google.com/spreadsheets/d/1QqKyyYR6Q21VydFLVH3TRQUabQu_ym0Zz7PgGX0-kHA/edit?usp=sharing"",""แผน!JN76"")"),0)</f>
        <v>0</v>
      </c>
      <c r="J800" s="161">
        <f ca="1">IFERROR(__xludf.DUMMYFUNCTION("IMPORTRANGE(""https://docs.google.com/spreadsheets/d/1MaWodYyGHDf7siQLGxnXhG4mBNTNIuy296niS2xXulU/edit?usp=sharing"",""RTK!H76"")"),0)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IFERROR(__xludf.DUMMYFUNCTION("IMPORTRANGE(""https://docs.google.com/spreadsheets/d/1MaWodYyGHDf7siQLGxnXhG4mBNTNIuy296niS2xXulU/edit?usp=sharing"",""RTK!I76"")"),0)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335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37">
        <f ca="1">IFERROR(__xludf.DUMMYFUNCTION("IMPORTRANGE(""https://docs.google.com/spreadsheets/d/19vJNZY_5yjcGF2XGBMNZRCAIB0Kwfpjp8YEOfu-bneM/edit?usp=sharing"",""งานกองทุน!F76"")"),942523.85)</f>
        <v>942523.85</v>
      </c>
      <c r="K821" s="38">
        <f t="shared" ref="K821:K828" ca="1" si="335">IF(I821&gt;0,J821*100/I821,0)</f>
        <v>83.667830482630166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IFERROR(__xludf.DUMMYFUNCTION("IMPORTRANGE(""https://docs.google.com/spreadsheets/d/19vJNZY_5yjcGF2XGBMNZRCAIB0Kwfpjp8YEOfu-bneM/edit?usp=sharing"",""งานกองทุน!C76"")"),113)</f>
        <v>113</v>
      </c>
      <c r="J822" s="37">
        <f ca="1">IFERROR(__xludf.DUMMYFUNCTION("IMPORTRANGE(""https://docs.google.com/spreadsheets/d/19vJNZY_5yjcGF2XGBMNZRCAIB0Kwfpjp8YEOfu-bneM/edit?usp=sharing"",""งานกองทุน!E76"")"),87)</f>
        <v>87</v>
      </c>
      <c r="K822" s="38">
        <f t="shared" ca="1" si="335"/>
        <v>76.991150442477874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37">
        <f ca="1">IFERROR(__xludf.DUMMYFUNCTION("IMPORTRANGE(""https://docs.google.com/spreadsheets/d/19vJNZY_5yjcGF2XGBMNZRCAIB0Kwfpjp8YEOfu-bneM/edit?usp=sharing"",""งานกองทุน!K76"")"),172004.48)</f>
        <v>172004.48000000001</v>
      </c>
      <c r="K823" s="38">
        <f t="shared" ca="1" si="335"/>
        <v>37.73039095717337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IFERROR(__xludf.DUMMYFUNCTION("IMPORTRANGE(""https://docs.google.com/spreadsheets/d/19vJNZY_5yjcGF2XGBMNZRCAIB0Kwfpjp8YEOfu-bneM/edit?usp=sharing"",""งานกองทุน!H76"")"),19)</f>
        <v>19</v>
      </c>
      <c r="J824" s="37">
        <f ca="1">IFERROR(__xludf.DUMMYFUNCTION("IMPORTRANGE(""https://docs.google.com/spreadsheets/d/19vJNZY_5yjcGF2XGBMNZRCAIB0Kwfpjp8YEOfu-bneM/edit?usp=sharing"",""งานกองทุน!J76"")"),9)</f>
        <v>9</v>
      </c>
      <c r="K824" s="38">
        <f t="shared" ca="1" si="335"/>
        <v>47.368421052631582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IFERROR(__xludf.DUMMYFUNCTION("IMPORTRANGE(""https://docs.google.com/spreadsheets/d/19vJNZY_5yjcGF2XGBMNZRCAIB0Kwfpjp8YEOfu-bneM/edit?usp=sharing"",""งานกองทุน!N76"")"),0)</f>
        <v>0</v>
      </c>
      <c r="J825" s="37">
        <f ca="1">IFERROR(__xludf.DUMMYFUNCTION("IMPORTRANGE(""https://docs.google.com/spreadsheets/d/19vJNZY_5yjcGF2XGBMNZRCAIB0Kwfpjp8YEOfu-bneM/edit?usp=sharing"",""งานกองทุน!P76"")"),0)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IFERROR(__xludf.DUMMYFUNCTION("IMPORTRANGE(""https://docs.google.com/spreadsheets/d/19vJNZY_5yjcGF2XGBMNZRCAIB0Kwfpjp8YEOfu-bneM/edit?usp=sharing"",""งานกองทุน!M76"")"),0)</f>
        <v>0</v>
      </c>
      <c r="J826" s="37">
        <f ca="1">IFERROR(__xludf.DUMMYFUNCTION("IMPORTRANGE(""https://docs.google.com/spreadsheets/d/19vJNZY_5yjcGF2XGBMNZRCAIB0Kwfpjp8YEOfu-bneM/edit?usp=sharing"",""งานกองทุน!O76"")"),0)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IFERROR(__xludf.DUMMYFUNCTION("IMPORTRANGE(""https://docs.google.com/spreadsheets/d/19vJNZY_5yjcGF2XGBMNZRCAIB0Kwfpjp8YEOfu-bneM/edit?usp=sharing"",""งานกองทุน!S76"")"),1050000)</f>
        <v>1050000</v>
      </c>
      <c r="J827" s="37">
        <f ca="1">IFERROR(__xludf.DUMMYFUNCTION("IMPORTRANGE(""https://docs.google.com/spreadsheets/d/19vJNZY_5yjcGF2XGBMNZRCAIB0Kwfpjp8YEOfu-bneM/edit?usp=sharing"",""งานกองทุน!U76"")"),1260000)</f>
        <v>1260000</v>
      </c>
      <c r="K827" s="38">
        <f t="shared" ca="1" si="335"/>
        <v>120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IFERROR(__xludf.DUMMYFUNCTION("IMPORTRANGE(""https://docs.google.com/spreadsheets/d/19vJNZY_5yjcGF2XGBMNZRCAIB0Kwfpjp8YEOfu-bneM/edit?usp=sharing"",""งานกองทุน!R76"")"),42)</f>
        <v>42</v>
      </c>
      <c r="J828" s="365">
        <f ca="1">IFERROR(__xludf.DUMMYFUNCTION("IMPORTRANGE(""https://docs.google.com/spreadsheets/d/19vJNZY_5yjcGF2XGBMNZRCAIB0Kwfpjp8YEOfu-bneM/edit?usp=sharing"",""งานกองทุน!T76"")"),42)</f>
        <v>42</v>
      </c>
      <c r="K828" s="475">
        <f t="shared" ca="1" si="335"/>
        <v>100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6AE6-CD6D-4496-9F47-0774B257604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3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336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3539657</v>
      </c>
      <c r="M8" s="22">
        <f t="shared" ca="1" si="0"/>
        <v>3674232.7</v>
      </c>
      <c r="N8" s="22">
        <f t="shared" ca="1" si="0"/>
        <v>3046665.29</v>
      </c>
      <c r="O8" s="22">
        <f t="shared" ref="O8:O16" ca="1" si="1">IF(L8&gt;0,N8*100/L8,0)</f>
        <v>86.072331019643997</v>
      </c>
      <c r="P8" s="22">
        <f t="shared" ref="P8:P16" ca="1" si="2">IF(M8&gt;0,N8*100/M8,0)</f>
        <v>82.919769616116042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3539657</v>
      </c>
      <c r="M10" s="30">
        <f t="shared" ca="1" si="3"/>
        <v>3674232.7</v>
      </c>
      <c r="N10" s="30">
        <f t="shared" ca="1" si="3"/>
        <v>3046665.29</v>
      </c>
      <c r="O10" s="30">
        <f t="shared" ca="1" si="1"/>
        <v>86.072331019643997</v>
      </c>
      <c r="P10" s="30">
        <f t="shared" ca="1" si="2"/>
        <v>82.919769616116042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3410057</v>
      </c>
      <c r="M11" s="38">
        <f t="shared" ca="1" si="4"/>
        <v>3544632.7</v>
      </c>
      <c r="N11" s="38">
        <f t="shared" ca="1" si="4"/>
        <v>2917065.29</v>
      </c>
      <c r="O11" s="38">
        <f t="shared" ca="1" si="1"/>
        <v>85.543006759124552</v>
      </c>
      <c r="P11" s="38">
        <f t="shared" ca="1" si="2"/>
        <v>82.295276743342114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3410057</v>
      </c>
      <c r="M13" s="45">
        <f t="shared" ca="1" si="5"/>
        <v>3544632.7</v>
      </c>
      <c r="N13" s="45">
        <f t="shared" ca="1" si="5"/>
        <v>2917065.29</v>
      </c>
      <c r="O13" s="45">
        <f t="shared" ca="1" si="1"/>
        <v>85.543006759124552</v>
      </c>
      <c r="P13" s="45">
        <f t="shared" ca="1" si="2"/>
        <v>82.295276743342114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129600</v>
      </c>
      <c r="M14" s="38">
        <f t="shared" ca="1" si="6"/>
        <v>129600</v>
      </c>
      <c r="N14" s="38">
        <f t="shared" ca="1" si="6"/>
        <v>129600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129600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2695565</v>
      </c>
      <c r="M18" s="22">
        <f t="shared" ca="1" si="8"/>
        <v>2830140.7</v>
      </c>
      <c r="N18" s="22">
        <f t="shared" ca="1" si="8"/>
        <v>2314999.64</v>
      </c>
      <c r="O18" s="22">
        <f t="shared" ref="O18:O26" ca="1" si="9">IF(L18&gt;0,N18*100/L18,0)</f>
        <v>85.881796209700013</v>
      </c>
      <c r="P18" s="22">
        <f t="shared" ref="P18:P26" ca="1" si="10">IF(M18&gt;0,N18*100/M18,0)</f>
        <v>81.79804064158364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2695565</v>
      </c>
      <c r="M20" s="30">
        <f t="shared" ca="1" si="11"/>
        <v>2830140.7</v>
      </c>
      <c r="N20" s="30">
        <f t="shared" ca="1" si="11"/>
        <v>2314999.64</v>
      </c>
      <c r="O20" s="30">
        <f t="shared" ca="1" si="9"/>
        <v>85.881796209700013</v>
      </c>
      <c r="P20" s="30">
        <f t="shared" ca="1" si="10"/>
        <v>81.79804064158364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2565965</v>
      </c>
      <c r="M21" s="38">
        <f t="shared" ca="1" si="12"/>
        <v>2700540.7</v>
      </c>
      <c r="N21" s="38">
        <f t="shared" ca="1" si="12"/>
        <v>2185399.64</v>
      </c>
      <c r="O21" s="38">
        <f t="shared" ca="1" si="9"/>
        <v>85.16872365757132</v>
      </c>
      <c r="P21" s="38">
        <f t="shared" ca="1" si="10"/>
        <v>80.924521522671355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2565965</v>
      </c>
      <c r="M23" s="45">
        <f t="shared" ca="1" si="13"/>
        <v>2700540.7</v>
      </c>
      <c r="N23" s="45">
        <f t="shared" ca="1" si="13"/>
        <v>2185399.64</v>
      </c>
      <c r="O23" s="45">
        <f t="shared" ca="1" si="9"/>
        <v>85.16872365757132</v>
      </c>
      <c r="P23" s="45">
        <f t="shared" ca="1" si="10"/>
        <v>80.924521522671355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129600</v>
      </c>
      <c r="M24" s="38">
        <f t="shared" ca="1" si="14"/>
        <v>129600</v>
      </c>
      <c r="N24" s="38">
        <f t="shared" ca="1" si="14"/>
        <v>129600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129600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844092</v>
      </c>
      <c r="M28" s="22">
        <f t="shared" ca="1" si="16"/>
        <v>844092</v>
      </c>
      <c r="N28" s="22">
        <f t="shared" si="16"/>
        <v>731665.64999999991</v>
      </c>
      <c r="O28" s="22">
        <f t="shared" ref="O28:O37" ca="1" si="17">IF(L28&gt;0,N28*100/L28,0)</f>
        <v>86.680794273609962</v>
      </c>
      <c r="P28" s="22">
        <f t="shared" ref="P28:P37" ca="1" si="18">IF(M28&gt;0,N28*100/M28,0)</f>
        <v>86.680794273609962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844092</v>
      </c>
      <c r="M30" s="30">
        <f t="shared" ca="1" si="19"/>
        <v>844092</v>
      </c>
      <c r="N30" s="30">
        <f t="shared" si="19"/>
        <v>731665.64999999991</v>
      </c>
      <c r="O30" s="30">
        <f t="shared" ca="1" si="17"/>
        <v>86.680794273609962</v>
      </c>
      <c r="P30" s="30">
        <f t="shared" ca="1" si="18"/>
        <v>86.680794273609962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844092</v>
      </c>
      <c r="M31" s="38">
        <f t="shared" ca="1" si="20"/>
        <v>844092</v>
      </c>
      <c r="N31" s="38">
        <f t="shared" si="20"/>
        <v>731665.64999999991</v>
      </c>
      <c r="O31" s="38">
        <f t="shared" ca="1" si="17"/>
        <v>86.680794273609962</v>
      </c>
      <c r="P31" s="38">
        <f t="shared" ca="1" si="18"/>
        <v>86.680794273609962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844092</v>
      </c>
      <c r="M33" s="45">
        <f t="shared" ca="1" si="21"/>
        <v>844092</v>
      </c>
      <c r="N33" s="45">
        <f t="shared" si="21"/>
        <v>731665.64999999991</v>
      </c>
      <c r="O33" s="45">
        <f t="shared" ca="1" si="17"/>
        <v>86.680794273609962</v>
      </c>
      <c r="P33" s="45">
        <f t="shared" ca="1" si="18"/>
        <v>86.680794273609962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2695565</v>
      </c>
      <c r="M37" s="792">
        <f t="shared" ca="1" si="24"/>
        <v>2830140.7</v>
      </c>
      <c r="N37" s="792">
        <f t="shared" ca="1" si="24"/>
        <v>2314999.64</v>
      </c>
      <c r="O37" s="792">
        <f t="shared" ca="1" si="17"/>
        <v>85.881796209700013</v>
      </c>
      <c r="P37" s="792">
        <f t="shared" ca="1" si="18"/>
        <v>81.79804064158364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342700</v>
      </c>
      <c r="M41" s="85">
        <f t="shared" ca="1" si="25"/>
        <v>358725.7</v>
      </c>
      <c r="N41" s="85">
        <f t="shared" ca="1" si="25"/>
        <v>302597.59000000003</v>
      </c>
      <c r="O41" s="85">
        <f t="shared" ref="O41:O49" ca="1" si="26">IF(L41&gt;0,N41*100/L41,0)</f>
        <v>88.298100379340539</v>
      </c>
      <c r="P41" s="85">
        <f t="shared" ref="P41:P49" ca="1" si="27">IF(M41&gt;0,N41*100/M41,0)</f>
        <v>84.353473977470813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342700</v>
      </c>
      <c r="M43" s="92">
        <f t="shared" ca="1" si="28"/>
        <v>358725.7</v>
      </c>
      <c r="N43" s="92">
        <f t="shared" ca="1" si="28"/>
        <v>302597.59000000003</v>
      </c>
      <c r="O43" s="92">
        <f t="shared" ca="1" si="26"/>
        <v>88.298100379340539</v>
      </c>
      <c r="P43" s="92">
        <f t="shared" ca="1" si="27"/>
        <v>84.353473977470813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342700</v>
      </c>
      <c r="M44" s="38">
        <f t="shared" ca="1" si="29"/>
        <v>358725.7</v>
      </c>
      <c r="N44" s="38">
        <f t="shared" ca="1" si="29"/>
        <v>302597.59000000003</v>
      </c>
      <c r="O44" s="38">
        <f t="shared" ca="1" si="26"/>
        <v>88.298100379340539</v>
      </c>
      <c r="P44" s="38">
        <f t="shared" ca="1" si="27"/>
        <v>84.353473977470813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IFERROR(__xludf.DUMMYFUNCTION("IMPORTRANGE(""https://docs.google.com/spreadsheets/d/1MeEWN-I1oV_STSDYn1IFDPWt_1FKiwhDph83XaGc0o0/edit?usp=sharing"",""งบพรบ!M77"")"),342700)</f>
        <v>342700</v>
      </c>
      <c r="M46" s="45">
        <f ca="1">IFERROR(__xludf.DUMMYFUNCTION("IMPORTRANGE(""https://docs.google.com/spreadsheets/d/1MeEWN-I1oV_STSDYn1IFDPWt_1FKiwhDph83XaGc0o0/edit?usp=sharing"",""งบพรบ!R77"")"),358725.7)</f>
        <v>358725.7</v>
      </c>
      <c r="N46" s="45">
        <f ca="1">IFERROR(__xludf.DUMMYFUNCTION("IMPORTRANGE(""https://docs.google.com/spreadsheets/d/1MeEWN-I1oV_STSDYn1IFDPWt_1FKiwhDph83XaGc0o0/edit?usp=sharing"",""งบพรบ!T77"")"),302597.59)</f>
        <v>302597.59000000003</v>
      </c>
      <c r="O46" s="45">
        <f t="shared" ca="1" si="26"/>
        <v>88.298100379340539</v>
      </c>
      <c r="P46" s="45">
        <f t="shared" ca="1" si="27"/>
        <v>84.353473977470813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IFERROR(__xludf.DUMMYFUNCTION("IMPORTRANGE(""https://docs.google.com/spreadsheets/d/1MeEWN-I1oV_STSDYn1IFDPWt_1FKiwhDph83XaGc0o0/edit?usp=sharing"",""งบพรบ!P77"")"),0)</f>
        <v>0</v>
      </c>
      <c r="M49" s="52">
        <f ca="1">IFERROR(__xludf.DUMMYFUNCTION("IMPORTRANGE(""https://docs.google.com/spreadsheets/d/1MeEWN-I1oV_STSDYn1IFDPWt_1FKiwhDph83XaGc0o0/edit?usp=sharing"",""งบพรบ!S77"")"),0)</f>
        <v>0</v>
      </c>
      <c r="N49" s="52">
        <f ca="1">IFERROR(__xludf.DUMMYFUNCTION("IMPORTRANGE(""https://docs.google.com/spreadsheets/d/1MeEWN-I1oV_STSDYn1IFDPWt_1FKiwhDph83XaGc0o0/edit?usp=sharing"",""งบพรบ!U77"")"),0)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728300</v>
      </c>
      <c r="M53" s="115">
        <f t="shared" ca="1" si="31"/>
        <v>759300</v>
      </c>
      <c r="N53" s="115">
        <f t="shared" ca="1" si="31"/>
        <v>692401.63</v>
      </c>
      <c r="O53" s="115">
        <f t="shared" ref="O53:O61" ca="1" si="32">IF(L53&gt;0,N53*100/L53,0)</f>
        <v>95.070936427296445</v>
      </c>
      <c r="P53" s="115">
        <f t="shared" ref="P53:P61" ca="1" si="33">IF(M53&gt;0,N53*100/M53,0)</f>
        <v>91.189467930989068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728300</v>
      </c>
      <c r="M55" s="122">
        <f t="shared" ca="1" si="34"/>
        <v>759300</v>
      </c>
      <c r="N55" s="122">
        <f t="shared" ca="1" si="34"/>
        <v>692401.63</v>
      </c>
      <c r="O55" s="122">
        <f t="shared" ca="1" si="32"/>
        <v>95.070936427296445</v>
      </c>
      <c r="P55" s="122">
        <f t="shared" ca="1" si="33"/>
        <v>91.189467930989068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728300</v>
      </c>
      <c r="M56" s="38">
        <f t="shared" ca="1" si="35"/>
        <v>759300</v>
      </c>
      <c r="N56" s="38">
        <f t="shared" ca="1" si="35"/>
        <v>692401.63</v>
      </c>
      <c r="O56" s="38">
        <f t="shared" ca="1" si="32"/>
        <v>95.070936427296445</v>
      </c>
      <c r="P56" s="38">
        <f t="shared" ca="1" si="33"/>
        <v>91.189467930989068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IFERROR(__xludf.DUMMYFUNCTION("IMPORTRANGE(""https://docs.google.com/spreadsheets/d/1MeEWN-I1oV_STSDYn1IFDPWt_1FKiwhDph83XaGc0o0/edit?usp=sharing"",""งบพรบ!W77"")"),728300)</f>
        <v>728300</v>
      </c>
      <c r="M58" s="45">
        <f ca="1">IFERROR(__xludf.DUMMYFUNCTION("IMPORTRANGE(""https://docs.google.com/spreadsheets/d/1MeEWN-I1oV_STSDYn1IFDPWt_1FKiwhDph83XaGc0o0/edit?usp=sharing"",""งบพรบ!AB77"")"),759300)</f>
        <v>759300</v>
      </c>
      <c r="N58" s="45">
        <f ca="1">IFERROR(__xludf.DUMMYFUNCTION("IMPORTRANGE(""https://docs.google.com/spreadsheets/d/1MeEWN-I1oV_STSDYn1IFDPWt_1FKiwhDph83XaGc0o0/edit?usp=sharing"",""งบพรบ!AD77"")"),692401.63)</f>
        <v>692401.63</v>
      </c>
      <c r="O58" s="45">
        <f t="shared" ca="1" si="32"/>
        <v>95.070936427296445</v>
      </c>
      <c r="P58" s="45">
        <f t="shared" ca="1" si="33"/>
        <v>91.189467930989068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IFERROR(__xludf.DUMMYFUNCTION("IMPORTRANGE(""https://docs.google.com/spreadsheets/d/1MeEWN-I1oV_STSDYn1IFDPWt_1FKiwhDph83XaGc0o0/edit?usp=sharing"",""งบพรบ!Z77"")"),0)</f>
        <v>0</v>
      </c>
      <c r="M61" s="52">
        <f ca="1">IFERROR(__xludf.DUMMYFUNCTION("IMPORTRANGE(""https://docs.google.com/spreadsheets/d/1MeEWN-I1oV_STSDYn1IFDPWt_1FKiwhDph83XaGc0o0/edit?usp=sharing"",""งบพรบ!AC77"")"),0)</f>
        <v>0</v>
      </c>
      <c r="N61" s="52">
        <f ca="1">IFERROR(__xludf.DUMMYFUNCTION("IMPORTRANGE(""https://docs.google.com/spreadsheets/d/1MeEWN-I1oV_STSDYn1IFDPWt_1FKiwhDph83XaGc0o0/edit?usp=sharing"",""งบพรบ!AE77"")"),0)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IFERROR(__xludf.DUMMYFUNCTION("IMPORTRANGE(""https://docs.google.com/spreadsheets/d/1MeEWN-I1oV_STSDYn1IFDPWt_1FKiwhDph83XaGc0o0/edit?usp=sharing"",""งบพรบ!AG77"")"),0)</f>
        <v>0</v>
      </c>
      <c r="M71" s="45">
        <f ca="1">IFERROR(__xludf.DUMMYFUNCTION("IMPORTRANGE(""https://docs.google.com/spreadsheets/d/1MeEWN-I1oV_STSDYn1IFDPWt_1FKiwhDph83XaGc0o0/edit?usp=sharing"",""งบพรบ!AL77"")"),0)</f>
        <v>0</v>
      </c>
      <c r="N71" s="45">
        <f ca="1">IFERROR(__xludf.DUMMYFUNCTION("IMPORTRANGE(""https://docs.google.com/spreadsheets/d/1MeEWN-I1oV_STSDYn1IFDPWt_1FKiwhDph83XaGc0o0/edit?usp=sharing"",""งบพรบ!AN77"")"),0)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IFERROR(__xludf.DUMMYFUNCTION("IMPORTRANGE(""https://docs.google.com/spreadsheets/d/1MeEWN-I1oV_STSDYn1IFDPWt_1FKiwhDph83XaGc0o0/edit?usp=sharing"",""งบพรบ!AJ77"")"),0)</f>
        <v>0</v>
      </c>
      <c r="M74" s="45">
        <f ca="1">IFERROR(__xludf.DUMMYFUNCTION("IMPORTRANGE(""https://docs.google.com/spreadsheets/d/1MeEWN-I1oV_STSDYn1IFDPWt_1FKiwhDph83XaGc0o0/edit?usp=sharing"",""งบพรบ!AM77"")"),0)</f>
        <v>0</v>
      </c>
      <c r="N74" s="45">
        <f ca="1">IFERROR(__xludf.DUMMYFUNCTION("IMPORTRANGE(""https://docs.google.com/spreadsheets/d/1MeEWN-I1oV_STSDYn1IFDPWt_1FKiwhDph83XaGc0o0/edit?usp=sharing"",""งบพรบ!AO77"")"),0)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IFERROR(__xludf.DUMMYFUNCTION("IMPORTRANGE(""https://docs.google.com/spreadsheets/d/1QqKyyYR6Q21VydFLVH3TRQUabQu_ym0Zz7PgGX0-kHA/edit?usp=sharing"",""แผน!H77"")"),0)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IFERROR(__xludf.DUMMYFUNCTION("IMPORTRANGE(""https://docs.google.com/spreadsheets/d/1QqKyyYR6Q21VydFLVH3TRQUabQu_ym0Zz7PgGX0-kHA/edit?usp=sharing"",""แผน!I77"")"),0)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IFERROR(__xludf.DUMMYFUNCTION("IMPORTRANGE(""https://docs.google.com/spreadsheets/d/1QqKyyYR6Q21VydFLVH3TRQUabQu_ym0Zz7PgGX0-kHA/edit?usp=sharing"",""แผน!F77"")"),0)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IFERROR(__xludf.DUMMYFUNCTION("IMPORTRANGE(""https://docs.google.com/spreadsheets/d/1QqKyyYR6Q21VydFLVH3TRQUabQu_ym0Zz7PgGX0-kHA/edit?usp=sharing"",""แผน!G77"")"),0)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IFERROR(__xludf.DUMMYFUNCTION("IMPORTRANGE(""https://docs.google.com/spreadsheets/d/1QqKyyYR6Q21VydFLVH3TRQUabQu_ym0Zz7PgGX0-kHA/edit?usp=sharing"",""แผน!D77"")"),0)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IFERROR(__xludf.DUMMYFUNCTION("IMPORTRANGE(""https://docs.google.com/spreadsheets/d/1QqKyyYR6Q21VydFLVH3TRQUabQu_ym0Zz7PgGX0-kHA/edit?usp=sharing"",""แผน!E77"")"),0)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IFERROR(__xludf.DUMMYFUNCTION("IMPORTRANGE(""https://docs.google.com/spreadsheets/d/1QqKyyYR6Q21VydFLVH3TRQUabQu_ym0Zz7PgGX0-kHA/edit?usp=sharing"",""แผน!J77"")"),0)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203800</v>
      </c>
      <c r="M88" s="154">
        <f t="shared" ca="1" si="49"/>
        <v>203800</v>
      </c>
      <c r="N88" s="154">
        <f t="shared" ca="1" si="49"/>
        <v>146968.14000000001</v>
      </c>
      <c r="O88" s="154">
        <f t="shared" ref="O88:O96" ca="1" si="50">IF(L88&gt;0,N88*100/L88,0)</f>
        <v>72.113905789990199</v>
      </c>
      <c r="P88" s="154">
        <f t="shared" ref="P88:P96" ca="1" si="51">IF(M88&gt;0,N88*100/M88,0)</f>
        <v>72.113905789990199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203800</v>
      </c>
      <c r="M90" s="45">
        <f t="shared" ca="1" si="52"/>
        <v>203800</v>
      </c>
      <c r="N90" s="45">
        <f t="shared" ca="1" si="52"/>
        <v>146968.14000000001</v>
      </c>
      <c r="O90" s="45">
        <f t="shared" ca="1" si="50"/>
        <v>72.113905789990199</v>
      </c>
      <c r="P90" s="45">
        <f t="shared" ca="1" si="51"/>
        <v>72.113905789990199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203800</v>
      </c>
      <c r="M91" s="38">
        <f t="shared" ca="1" si="53"/>
        <v>203800</v>
      </c>
      <c r="N91" s="38">
        <f t="shared" ca="1" si="53"/>
        <v>146968.14000000001</v>
      </c>
      <c r="O91" s="38">
        <f t="shared" ca="1" si="50"/>
        <v>72.113905789990199</v>
      </c>
      <c r="P91" s="38">
        <f t="shared" ca="1" si="51"/>
        <v>72.113905789990199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IFERROR(__xludf.DUMMYFUNCTION("IMPORTRANGE(""https://docs.google.com/spreadsheets/d/1MeEWN-I1oV_STSDYn1IFDPWt_1FKiwhDph83XaGc0o0/edit?usp=sharing"",""งบพรบ!AQ77"")"),203800)</f>
        <v>203800</v>
      </c>
      <c r="M93" s="45">
        <f ca="1">IFERROR(__xludf.DUMMYFUNCTION("IMPORTRANGE(""https://docs.google.com/spreadsheets/d/1MeEWN-I1oV_STSDYn1IFDPWt_1FKiwhDph83XaGc0o0/edit?usp=sharing"",""งบพรบ!AV77"")"),203800)</f>
        <v>203800</v>
      </c>
      <c r="N93" s="45">
        <f ca="1">IFERROR(__xludf.DUMMYFUNCTION("IMPORTRANGE(""https://docs.google.com/spreadsheets/d/1MeEWN-I1oV_STSDYn1IFDPWt_1FKiwhDph83XaGc0o0/edit?usp=sharing"",""งบพรบ!AX77"")"),146968.14)</f>
        <v>146968.14000000001</v>
      </c>
      <c r="O93" s="45">
        <f t="shared" ca="1" si="50"/>
        <v>72.113905789990199</v>
      </c>
      <c r="P93" s="45">
        <f t="shared" ca="1" si="51"/>
        <v>72.113905789990199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IFERROR(__xludf.DUMMYFUNCTION("IMPORTRANGE(""https://docs.google.com/spreadsheets/d/1MeEWN-I1oV_STSDYn1IFDPWt_1FKiwhDph83XaGc0o0/edit?usp=sharing"",""งบพรบ!AT77"")"),0)</f>
        <v>0</v>
      </c>
      <c r="M96" s="45">
        <f ca="1">IFERROR(__xludf.DUMMYFUNCTION("IMPORTRANGE(""https://docs.google.com/spreadsheets/d/1MeEWN-I1oV_STSDYn1IFDPWt_1FKiwhDph83XaGc0o0/edit?usp=sharing"",""งบพรบ!AW77"")"),0)</f>
        <v>0</v>
      </c>
      <c r="N96" s="45">
        <f ca="1">IFERROR(__xludf.DUMMYFUNCTION("IMPORTRANGE(""https://docs.google.com/spreadsheets/d/1MeEWN-I1oV_STSDYn1IFDPWt_1FKiwhDph83XaGc0o0/edit?usp=sharing"",""งบพรบ!AY77"")"),0)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IFERROR(__xludf.DUMMYFUNCTION("IMPORTRANGE(""https://docs.google.com/spreadsheets/d/1QqKyyYR6Q21VydFLVH3TRQUabQu_ym0Zz7PgGX0-kHA/edit?usp=sharing"",""แผน!K77"")"),0)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IFERROR(__xludf.DUMMYFUNCTION("IMPORTRANGE(""https://docs.google.com/spreadsheets/d/1QqKyyYR6Q21VydFLVH3TRQUabQu_ym0Zz7PgGX0-kHA/edit?usp=sharing"",""แผน!L77"")"),0)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IFERROR(__xludf.DUMMYFUNCTION("IMPORTRANGE(""https://docs.google.com/spreadsheets/d/1QqKyyYR6Q21VydFLVH3TRQUabQu_ym0Zz7PgGX0-kHA/edit?usp=sharing"",""แผน!M77"")"),2)</f>
        <v>2</v>
      </c>
      <c r="J100" s="37">
        <f>J107+J110</f>
        <v>1</v>
      </c>
      <c r="K100" s="38">
        <f t="shared" ca="1" si="55"/>
        <v>50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IFERROR(__xludf.DUMMYFUNCTION("IMPORTRANGE(""https://docs.google.com/spreadsheets/d/1QqKyyYR6Q21VydFLVH3TRQUabQu_ym0Zz7PgGX0-kHA/edit?usp=sharing"",""แผน!N77"")"),0)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IFERROR(__xludf.DUMMYFUNCTION("IMPORTRANGE(""https://docs.google.com/spreadsheets/d/1QqKyyYR6Q21VydFLVH3TRQUabQu_ym0Zz7PgGX0-kHA/edit?usp=sharing"",""แผน!O77"")"),0)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IFERROR(__xludf.DUMMYFUNCTION("IMPORTRANGE(""https://docs.google.com/spreadsheets/d/1QqKyyYR6Q21VydFLVH3TRQUabQu_ym0Zz7PgGX0-kHA/edit?usp=sharing"",""แผน!O77"")"),0)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IFERROR(__xludf.DUMMYFUNCTION("IMPORTRANGE(""https://docs.google.com/spreadsheets/d/1QqKyyYR6Q21VydFLVH3TRQUabQu_ym0Zz7PgGX0-kHA/edit?usp=sharing"",""แผน!P77"")"),1)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IFERROR(__xludf.DUMMYFUNCTION("IMPORTRANGE(""https://docs.google.com/spreadsheets/d/1QqKyyYR6Q21VydFLVH3TRQUabQu_ym0Zz7PgGX0-kHA/edit?usp=sharing"",""แผน!P77"")"),1)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IFERROR(__xludf.DUMMYFUNCTION("IMPORTRANGE(""https://docs.google.com/spreadsheets/d/1QqKyyYR6Q21VydFLVH3TRQUabQu_ym0Zz7PgGX0-kHA/edit?usp=sharing"",""แผน!Q77"")"),1)</f>
        <v>1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IFERROR(__xludf.DUMMYFUNCTION("IMPORTRANGE(""https://docs.google.com/spreadsheets/d/1QqKyyYR6Q21VydFLVH3TRQUabQu_ym0Zz7PgGX0-kHA/edit?usp=sharing"",""แผน!Q77"")"),1)</f>
        <v>1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IFERROR(__xludf.DUMMYFUNCTION("IMPORTRANGE(""https://docs.google.com/spreadsheets/d/1QqKyyYR6Q21VydFLVH3TRQUabQu_ym0Zz7PgGX0-kHA/edit?usp=sharing"",""แผน!R77"")"),0)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IFERROR(__xludf.DUMMYFUNCTION("IMPORTRANGE(""https://docs.google.com/spreadsheets/d/1QqKyyYR6Q21VydFLVH3TRQUabQu_ym0Zz7PgGX0-kHA/edit?usp=sharing"",""แผน!R77"")"),0)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IFERROR(__xludf.DUMMYFUNCTION("IMPORTRANGE(""https://docs.google.com/spreadsheets/d/1QqKyyYR6Q21VydFLVH3TRQUabQu_ym0Zz7PgGX0-kHA/edit?usp=sharing"",""แผน!R77"")"),0)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IFERROR(__xludf.DUMMYFUNCTION("IMPORTRANGE(""https://docs.google.com/spreadsheets/d/1QqKyyYR6Q21VydFLVH3TRQUabQu_ym0Zz7PgGX0-kHA/edit?usp=sharing"",""แผน!S77"")"),1)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IFERROR(__xludf.DUMMYFUNCTION("IMPORTRANGE(""https://docs.google.com/spreadsheets/d/1QqKyyYR6Q21VydFLVH3TRQUabQu_ym0Zz7PgGX0-kHA/edit?usp=sharing"",""แผน!T77"")"),1)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IFERROR(__xludf.DUMMYFUNCTION("IMPORTRANGE(""https://docs.google.com/spreadsheets/d/1MeEWN-I1oV_STSDYn1IFDPWt_1FKiwhDph83XaGc0o0/edit?usp=sharing"",""งบพรบ!BA77"")"),0)</f>
        <v>0</v>
      </c>
      <c r="M124" s="45">
        <f ca="1">IFERROR(__xludf.DUMMYFUNCTION("IMPORTRANGE(""https://docs.google.com/spreadsheets/d/1MeEWN-I1oV_STSDYn1IFDPWt_1FKiwhDph83XaGc0o0/edit?usp=sharing"",""งบพรบ!BF77"")"),0)</f>
        <v>0</v>
      </c>
      <c r="N124" s="45">
        <f ca="1">IFERROR(__xludf.DUMMYFUNCTION("IMPORTRANGE(""https://docs.google.com/spreadsheets/d/1MeEWN-I1oV_STSDYn1IFDPWt_1FKiwhDph83XaGc0o0/edit?usp=sharing"",""งบพรบ!BH77"")"),0)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IFERROR(__xludf.DUMMYFUNCTION("IMPORTRANGE(""https://docs.google.com/spreadsheets/d/1MeEWN-I1oV_STSDYn1IFDPWt_1FKiwhDph83XaGc0o0/edit?usp=sharing"",""งบพรบ!BD77"")"),0)</f>
        <v>0</v>
      </c>
      <c r="M127" s="45">
        <f ca="1">IFERROR(__xludf.DUMMYFUNCTION("IMPORTRANGE(""https://docs.google.com/spreadsheets/d/1MeEWN-I1oV_STSDYn1IFDPWt_1FKiwhDph83XaGc0o0/edit?usp=sharing"",""งบพรบ!BG77"")"),0)</f>
        <v>0</v>
      </c>
      <c r="N127" s="45">
        <f ca="1">IFERROR(__xludf.DUMMYFUNCTION("IMPORTRANGE(""https://docs.google.com/spreadsheets/d/1MeEWN-I1oV_STSDYn1IFDPWt_1FKiwhDph83XaGc0o0/edit?usp=sharing"",""งบพรบ!BI77"")"),0)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IFERROR(__xludf.DUMMYFUNCTION("IMPORTRANGE(""https://docs.google.com/spreadsheets/d/1MeEWN-I1oV_STSDYn1IFDPWt_1FKiwhDph83XaGc0o0/edit?usp=sharing"",""งบพรบ!BK77"")"),0)</f>
        <v>0</v>
      </c>
      <c r="M137" s="45">
        <f ca="1">IFERROR(__xludf.DUMMYFUNCTION("IMPORTRANGE(""https://docs.google.com/spreadsheets/d/1MeEWN-I1oV_STSDYn1IFDPWt_1FKiwhDph83XaGc0o0/edit?usp=sharing"",""งบพรบ!BP77"")"),0)</f>
        <v>0</v>
      </c>
      <c r="N137" s="45">
        <f ca="1">IFERROR(__xludf.DUMMYFUNCTION("IMPORTRANGE(""https://docs.google.com/spreadsheets/d/1MeEWN-I1oV_STSDYn1IFDPWt_1FKiwhDph83XaGc0o0/edit?usp=sharing"",""งบพรบ!BR77"")"),0)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IFERROR(__xludf.DUMMYFUNCTION("IMPORTRANGE(""https://docs.google.com/spreadsheets/d/1MeEWN-I1oV_STSDYn1IFDPWt_1FKiwhDph83XaGc0o0/edit?usp=sharing"",""งบพรบ!BN77"")"),0)</f>
        <v>0</v>
      </c>
      <c r="M140" s="45">
        <f ca="1">IFERROR(__xludf.DUMMYFUNCTION("IMPORTRANGE(""https://docs.google.com/spreadsheets/d/1MeEWN-I1oV_STSDYn1IFDPWt_1FKiwhDph83XaGc0o0/edit?usp=sharing"",""งบพรบ!BQ77"")"),0)</f>
        <v>0</v>
      </c>
      <c r="N140" s="45">
        <f ca="1">IFERROR(__xludf.DUMMYFUNCTION("IMPORTRANGE(""https://docs.google.com/spreadsheets/d/1MeEWN-I1oV_STSDYn1IFDPWt_1FKiwhDph83XaGc0o0/edit?usp=sharing"",""งบพรบ!BS77"")"),0)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IFERROR(__xludf.DUMMYFUNCTION("IMPORTRANGE(""https://docs.google.com/spreadsheets/d/1QqKyyYR6Q21VydFLVH3TRQUabQu_ym0Zz7PgGX0-kHA/edit?usp=sharing"",""แผน!U77"")"),0)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IFERROR(__xludf.DUMMYFUNCTION("IMPORTRANGE(""https://docs.google.com/spreadsheets/d/1QqKyyYR6Q21VydFLVH3TRQUabQu_ym0Zz7PgGX0-kHA/edit?usp=sharing"",""แผน!V77"")"),0)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IFERROR(__xludf.DUMMYFUNCTION("IMPORTRANGE(""https://docs.google.com/spreadsheets/d/1QqKyyYR6Q21VydFLVH3TRQUabQu_ym0Zz7PgGX0-kHA/edit?usp=sharing"",""แผน!W77"")"),0)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IFERROR(__xludf.DUMMYFUNCTION("IMPORTRANGE(""https://docs.google.com/spreadsheets/d/1MeEWN-I1oV_STSDYn1IFDPWt_1FKiwhDph83XaGc0o0/edit?usp=sharing"",""งบพรบ!BU77"")"),0)</f>
        <v>0</v>
      </c>
      <c r="M154" s="45">
        <f ca="1">IFERROR(__xludf.DUMMYFUNCTION("IMPORTRANGE(""https://docs.google.com/spreadsheets/d/1MeEWN-I1oV_STSDYn1IFDPWt_1FKiwhDph83XaGc0o0/edit?usp=sharing"",""งบพรบ!BZ77"")"),0)</f>
        <v>0</v>
      </c>
      <c r="N154" s="45">
        <f ca="1">IFERROR(__xludf.DUMMYFUNCTION("IMPORTRANGE(""https://docs.google.com/spreadsheets/d/1MeEWN-I1oV_STSDYn1IFDPWt_1FKiwhDph83XaGc0o0/edit?usp=sharing"",""งบพรบ!CB77"")"),0)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IFERROR(__xludf.DUMMYFUNCTION("IMPORTRANGE(""https://docs.google.com/spreadsheets/d/1MeEWN-I1oV_STSDYn1IFDPWt_1FKiwhDph83XaGc0o0/edit?usp=sharing"",""งบพรบ!BX77"")"),0)</f>
        <v>0</v>
      </c>
      <c r="M157" s="45">
        <f ca="1">IFERROR(__xludf.DUMMYFUNCTION("IMPORTRANGE(""https://docs.google.com/spreadsheets/d/1MeEWN-I1oV_STSDYn1IFDPWt_1FKiwhDph83XaGc0o0/edit?usp=sharing"",""งบพรบ!CA77"")"),0)</f>
        <v>0</v>
      </c>
      <c r="N157" s="45">
        <f ca="1">IFERROR(__xludf.DUMMYFUNCTION("IMPORTRANGE(""https://docs.google.com/spreadsheets/d/1MeEWN-I1oV_STSDYn1IFDPWt_1FKiwhDph83XaGc0o0/edit?usp=sharing"",""งบพรบ!CC77"")"),0)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IFERROR(__xludf.DUMMYFUNCTION("IMPORTRANGE(""https://docs.google.com/spreadsheets/d/1QqKyyYR6Q21VydFLVH3TRQUabQu_ym0Zz7PgGX0-kHA/edit?usp=sharing"",""แผน!X77"")"),0)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13</v>
      </c>
      <c r="J164" s="242">
        <f t="shared" si="83"/>
        <v>13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24065</v>
      </c>
      <c r="M165" s="154">
        <f t="shared" ca="1" si="84"/>
        <v>41315</v>
      </c>
      <c r="N165" s="154">
        <f t="shared" ca="1" si="84"/>
        <v>41315</v>
      </c>
      <c r="O165" s="154">
        <f t="shared" ref="O165:O173" ca="1" si="85">IF(L165&gt;0,N165*100/L165,0)</f>
        <v>171.68086432578434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24065</v>
      </c>
      <c r="M167" s="45">
        <f t="shared" ca="1" si="87"/>
        <v>41315</v>
      </c>
      <c r="N167" s="45">
        <f t="shared" ca="1" si="87"/>
        <v>41315</v>
      </c>
      <c r="O167" s="45">
        <f t="shared" ca="1" si="85"/>
        <v>171.68086432578434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24065</v>
      </c>
      <c r="M168" s="38">
        <f t="shared" ca="1" si="88"/>
        <v>41315</v>
      </c>
      <c r="N168" s="38">
        <f t="shared" ca="1" si="88"/>
        <v>41315</v>
      </c>
      <c r="O168" s="38">
        <f t="shared" ca="1" si="85"/>
        <v>171.68086432578434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IFERROR(__xludf.DUMMYFUNCTION("IMPORTRANGE(""https://docs.google.com/spreadsheets/d/1MeEWN-I1oV_STSDYn1IFDPWt_1FKiwhDph83XaGc0o0/edit?usp=sharing"",""งบพรบ!CE77"")"),24065)</f>
        <v>24065</v>
      </c>
      <c r="M170" s="45">
        <f ca="1">IFERROR(__xludf.DUMMYFUNCTION("IMPORTRANGE(""https://docs.google.com/spreadsheets/d/1MeEWN-I1oV_STSDYn1IFDPWt_1FKiwhDph83XaGc0o0/edit?usp=sharing"",""งบพรบ!CJ77"")"),41315)</f>
        <v>41315</v>
      </c>
      <c r="N170" s="45">
        <f ca="1">IFERROR(__xludf.DUMMYFUNCTION("IMPORTRANGE(""https://docs.google.com/spreadsheets/d/1MeEWN-I1oV_STSDYn1IFDPWt_1FKiwhDph83XaGc0o0/edit?usp=sharing"",""งบพรบ!CL77"")"),41315)</f>
        <v>41315</v>
      </c>
      <c r="O170" s="45">
        <f t="shared" ca="1" si="85"/>
        <v>171.68086432578434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IFERROR(__xludf.DUMMYFUNCTION("IMPORTRANGE(""https://docs.google.com/spreadsheets/d/1MeEWN-I1oV_STSDYn1IFDPWt_1FKiwhDph83XaGc0o0/edit?usp=sharing"",""งบพรบ!CH77"")"),0)</f>
        <v>0</v>
      </c>
      <c r="M173" s="45">
        <f ca="1">IFERROR(__xludf.DUMMYFUNCTION("IMPORTRANGE(""https://docs.google.com/spreadsheets/d/1MeEWN-I1oV_STSDYn1IFDPWt_1FKiwhDph83XaGc0o0/edit?usp=sharing"",""งบพรบ!CK77"")"),0)</f>
        <v>0</v>
      </c>
      <c r="N173" s="45">
        <f ca="1">IFERROR(__xludf.DUMMYFUNCTION("IMPORTRANGE(""https://docs.google.com/spreadsheets/d/1MeEWN-I1oV_STSDYn1IFDPWt_1FKiwhDph83XaGc0o0/edit?usp=sharing"",""งบพรบ!CM77"")"),0)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13</v>
      </c>
      <c r="J174" s="250">
        <f t="shared" si="90"/>
        <v>13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IFERROR(__xludf.DUMMYFUNCTION("IMPORTRANGE(""https://docs.google.com/spreadsheets/d/1QqKyyYR6Q21VydFLVH3TRQUabQu_ym0Zz7PgGX0-kHA/edit?usp=sharing"",""แผน!Y77"")"),13)</f>
        <v>13</v>
      </c>
      <c r="J176" s="181">
        <v>13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206200</v>
      </c>
      <c r="M181" s="154">
        <f t="shared" ca="1" si="92"/>
        <v>206200</v>
      </c>
      <c r="N181" s="154">
        <f t="shared" ca="1" si="92"/>
        <v>167452.47</v>
      </c>
      <c r="O181" s="154">
        <f t="shared" ref="O181:O189" ca="1" si="93">IF(L181&gt;0,N181*100/L181,0)</f>
        <v>81.208763336566435</v>
      </c>
      <c r="P181" s="154">
        <f t="shared" ref="P181:P189" ca="1" si="94">IF(M181&gt;0,N181*100/M181,0)</f>
        <v>81.208763336566435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206200</v>
      </c>
      <c r="M183" s="45">
        <f t="shared" ca="1" si="95"/>
        <v>206200</v>
      </c>
      <c r="N183" s="45">
        <f t="shared" ca="1" si="95"/>
        <v>167452.47</v>
      </c>
      <c r="O183" s="45">
        <f t="shared" ca="1" si="93"/>
        <v>81.208763336566435</v>
      </c>
      <c r="P183" s="45">
        <f t="shared" ca="1" si="94"/>
        <v>81.208763336566435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206200</v>
      </c>
      <c r="M184" s="38">
        <f t="shared" ca="1" si="96"/>
        <v>206200</v>
      </c>
      <c r="N184" s="38">
        <f t="shared" ca="1" si="96"/>
        <v>167452.47</v>
      </c>
      <c r="O184" s="38">
        <f t="shared" ca="1" si="93"/>
        <v>81.208763336566435</v>
      </c>
      <c r="P184" s="38">
        <f t="shared" ca="1" si="94"/>
        <v>81.208763336566435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IFERROR(__xludf.DUMMYFUNCTION("IMPORTRANGE(""https://docs.google.com/spreadsheets/d/1MeEWN-I1oV_STSDYn1IFDPWt_1FKiwhDph83XaGc0o0/edit?usp=sharing"",""งบพรบ!CO77"")"),206200)</f>
        <v>206200</v>
      </c>
      <c r="M186" s="45">
        <f ca="1">IFERROR(__xludf.DUMMYFUNCTION("IMPORTRANGE(""https://docs.google.com/spreadsheets/d/1MeEWN-I1oV_STSDYn1IFDPWt_1FKiwhDph83XaGc0o0/edit?usp=sharing"",""งบพรบ!CT77"")"),206200)</f>
        <v>206200</v>
      </c>
      <c r="N186" s="45">
        <f ca="1">IFERROR(__xludf.DUMMYFUNCTION("IMPORTRANGE(""https://docs.google.com/spreadsheets/d/1MeEWN-I1oV_STSDYn1IFDPWt_1FKiwhDph83XaGc0o0/edit?usp=sharing"",""งบพรบ!CV77"")"),167452.47)</f>
        <v>167452.47</v>
      </c>
      <c r="O186" s="45">
        <f t="shared" ca="1" si="93"/>
        <v>81.208763336566435</v>
      </c>
      <c r="P186" s="45">
        <f t="shared" ca="1" si="94"/>
        <v>81.208763336566435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IFERROR(__xludf.DUMMYFUNCTION("IMPORTRANGE(""https://docs.google.com/spreadsheets/d/1MeEWN-I1oV_STSDYn1IFDPWt_1FKiwhDph83XaGc0o0/edit?usp=sharing"",""งบพรบ!CR77"")"),0)</f>
        <v>0</v>
      </c>
      <c r="M189" s="45">
        <f ca="1">IFERROR(__xludf.DUMMYFUNCTION("IMPORTRANGE(""https://docs.google.com/spreadsheets/d/1MeEWN-I1oV_STSDYn1IFDPWt_1FKiwhDph83XaGc0o0/edit?usp=sharing"",""งบพรบ!CU77"")"),0)</f>
        <v>0</v>
      </c>
      <c r="N189" s="45">
        <f ca="1">IFERROR(__xludf.DUMMYFUNCTION("IMPORTRANGE(""https://docs.google.com/spreadsheets/d/1MeEWN-I1oV_STSDYn1IFDPWt_1FKiwhDph83XaGc0o0/edit?usp=sharing"",""งบพรบ!CW77"")"),0)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IFERROR(__xludf.DUMMYFUNCTION("IMPORTRANGE(""https://docs.google.com/spreadsheets/d/1QqKyyYR6Q21VydFLVH3TRQUabQu_ym0Zz7PgGX0-kHA/edit?usp=sharing"",""แผน!Z77"")"),6000)</f>
        <v>6000</v>
      </c>
      <c r="M191" s="154"/>
      <c r="N191" s="264">
        <v>4560</v>
      </c>
      <c r="O191" s="154">
        <f ca="1">IF(L191&gt;0,N191*100/L191,0)</f>
        <v>76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IFERROR(__xludf.DUMMYFUNCTION("IMPORTRANGE(""https://docs.google.com/spreadsheets/d/1QqKyyYR6Q21VydFLVH3TRQUabQu_ym0Zz7PgGX0-kHA/edit?usp=sharing"",""แผน!AC77"")"),4)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90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f>62+28</f>
        <v>90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1</v>
      </c>
      <c r="J197" s="260">
        <f t="shared" si="99"/>
        <v>1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13000</v>
      </c>
      <c r="M198" s="154"/>
      <c r="N198" s="154">
        <f>N199+N200+N201+N202</f>
        <v>12223.619999999999</v>
      </c>
      <c r="O198" s="154">
        <f ca="1">IF(L198&gt;0,N198*100/L198,0)</f>
        <v>94.027846153846156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IFERROR(__xludf.DUMMYFUNCTION("IMPORTRANGE(""https://docs.google.com/spreadsheets/d/1QqKyyYR6Q21VydFLVH3TRQUabQu_ym0Zz7PgGX0-kHA/edit?usp=sharing"",""แผน!AE77"")"),1000)</f>
        <v>1000</v>
      </c>
      <c r="M199" s="38"/>
      <c r="N199" s="270">
        <v>240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IFERROR(__xludf.DUMMYFUNCTION("IMPORTRANGE(""https://docs.google.com/spreadsheets/d/1QqKyyYR6Q21VydFLVH3TRQUabQu_ym0Zz7PgGX0-kHA/edit?usp=sharing"",""แผน!AF77"")"),8000)</f>
        <v>8000</v>
      </c>
      <c r="M200" s="38"/>
      <c r="N200" s="270">
        <v>7983.62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IFERROR(__xludf.DUMMYFUNCTION("IMPORTRANGE(""https://docs.google.com/spreadsheets/d/1QqKyyYR6Q21VydFLVH3TRQUabQu_ym0Zz7PgGX0-kHA/edit?usp=sharing"",""แผน!AG77"")"),4000)</f>
        <v>4000</v>
      </c>
      <c r="M201" s="38"/>
      <c r="N201" s="270">
        <v>4000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IFERROR(__xludf.DUMMYFUNCTION("IMPORTRANGE(""https://docs.google.com/spreadsheets/d/1QqKyyYR6Q21VydFLVH3TRQUabQu_ym0Zz7PgGX0-kHA/edit?usp=sharing"",""แผน!AH77"")"),0)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IFERROR(__xludf.DUMMYFUNCTION("IMPORTRANGE(""https://docs.google.com/spreadsheets/d/1QqKyyYR6Q21VydFLVH3TRQUabQu_ym0Zz7PgGX0-kHA/edit?usp=sharing"",""แผน!AI77"")"),1)</f>
        <v>1</v>
      </c>
      <c r="J204" s="181">
        <v>1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1</v>
      </c>
      <c r="J206" s="181">
        <v>1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IFERROR(__xludf.DUMMYFUNCTION("IMPORTRANGE(""https://docs.google.com/spreadsheets/d/1QqKyyYR6Q21VydFLVH3TRQUabQu_ym0Zz7PgGX0-kHA/edit?usp=sharing"",""แผน!AK77"")"),0)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IFERROR(__xludf.DUMMYFUNCTION("IMPORTRANGE(""https://docs.google.com/spreadsheets/d/1QqKyyYR6Q21VydFLVH3TRQUabQu_ym0Zz7PgGX0-kHA/edit?usp=sharing"",""แผน!AL77"")"),0)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IFERROR(__xludf.DUMMYFUNCTION("IMPORTRANGE(""https://docs.google.com/spreadsheets/d/1QqKyyYR6Q21VydFLVH3TRQUabQu_ym0Zz7PgGX0-kHA/edit?usp=sharing"",""แผน!AM77"")"),0)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IFERROR(__xludf.DUMMYFUNCTION("IMPORTRANGE(""https://docs.google.com/spreadsheets/d/1QqKyyYR6Q21VydFLVH3TRQUabQu_ym0Zz7PgGX0-kHA/edit?usp=sharing"",""แผน!AN77"")"),0)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IFERROR(__xludf.DUMMYFUNCTION("IMPORTRANGE(""https://docs.google.com/spreadsheets/d/1QqKyyYR6Q21VydFLVH3TRQUabQu_ym0Zz7PgGX0-kHA/edit?usp=sharing"",""แผน!AN77"")"),0)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10000</v>
      </c>
      <c r="J216" s="260">
        <f t="shared" si="103"/>
        <v>10000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16500</v>
      </c>
      <c r="M217" s="154"/>
      <c r="N217" s="154">
        <f>N218+N219+N220</f>
        <v>15046.7</v>
      </c>
      <c r="O217" s="154">
        <f ca="1">IF(L217&gt;0,N217*100/L217,0)</f>
        <v>91.192121212121208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IFERROR(__xludf.DUMMYFUNCTION("IMPORTRANGE(""https://docs.google.com/spreadsheets/d/1QqKyyYR6Q21VydFLVH3TRQUabQu_ym0Zz7PgGX0-kHA/edit?usp=sharing"",""แผน!AP77"")"),3000)</f>
        <v>3000</v>
      </c>
      <c r="M218" s="38"/>
      <c r="N218" s="270">
        <v>2700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IFERROR(__xludf.DUMMYFUNCTION("IMPORTRANGE(""https://docs.google.com/spreadsheets/d/1QqKyyYR6Q21VydFLVH3TRQUabQu_ym0Zz7PgGX0-kHA/edit?usp=sharing"",""แผน!AQ77"")"),3500)</f>
        <v>3500</v>
      </c>
      <c r="M219" s="38"/>
      <c r="N219" s="270">
        <v>3500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IFERROR(__xludf.DUMMYFUNCTION("IMPORTRANGE(""https://docs.google.com/spreadsheets/d/1QqKyyYR6Q21VydFLVH3TRQUabQu_ym0Zz7PgGX0-kHA/edit?usp=sharing"",""แผน!AR77"")"),10000)</f>
        <v>10000</v>
      </c>
      <c r="M220" s="38"/>
      <c r="N220" s="270">
        <f>7420+560+866.7</f>
        <v>8846.7000000000007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IFERROR(__xludf.DUMMYFUNCTION("IMPORTRANGE(""https://docs.google.com/spreadsheets/d/1QqKyyYR6Q21VydFLVH3TRQUabQu_ym0Zz7PgGX0-kHA/edit?usp=sharing"",""แผน!AT77"")"),10000)</f>
        <v>10000</v>
      </c>
      <c r="J223" s="181">
        <v>10000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IFERROR(__xludf.DUMMYFUNCTION("IMPORTRANGE(""https://docs.google.com/spreadsheets/d/1QqKyyYR6Q21VydFLVH3TRQUabQu_ym0Zz7PgGX0-kHA/edit?usp=sharing"",""แผน!AT77"")"),10000)</f>
        <v>10000</v>
      </c>
      <c r="J224" s="181">
        <v>10000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IFERROR(__xludf.DUMMYFUNCTION("IMPORTRANGE(""https://docs.google.com/spreadsheets/d/1QqKyyYR6Q21VydFLVH3TRQUabQu_ym0Zz7PgGX0-kHA/edit?usp=sharing"",""แผน!AS77"")"),10)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IFERROR(__xludf.DUMMYFUNCTION("IMPORTRANGE(""https://docs.google.com/spreadsheets/d/1QqKyyYR6Q21VydFLVH3TRQUabQu_ym0Zz7PgGX0-kHA/edit?usp=sharing"",""แผน!AV77"")"),0)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IFERROR(__xludf.DUMMYFUNCTION("IMPORTRANGE(""https://docs.google.com/spreadsheets/d/1QqKyyYR6Q21VydFLVH3TRQUabQu_ym0Zz7PgGX0-kHA/edit?usp=sharing"",""แผน!AW77"")"),0)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IFERROR(__xludf.DUMMYFUNCTION("IMPORTRANGE(""https://docs.google.com/spreadsheets/d/1QqKyyYR6Q21VydFLVH3TRQUabQu_ym0Zz7PgGX0-kHA/edit?usp=sharing"",""แผน!AX77"")"),0)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IFERROR(__xludf.DUMMYFUNCTION("IMPORTRANGE(""https://docs.google.com/spreadsheets/d/1QqKyyYR6Q21VydFLVH3TRQUabQu_ym0Zz7PgGX0-kHA/edit?usp=sharing"",""แผน!AY77"")"),0)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IFERROR(__xludf.DUMMYFUNCTION("IMPORTRANGE(""https://docs.google.com/spreadsheets/d/1QqKyyYR6Q21VydFLVH3TRQUabQu_ym0Zz7PgGX0-kHA/edit?usp=sharing"",""แผน!BE77"")"),0)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IFERROR(__xludf.DUMMYFUNCTION("IMPORTRANGE(""https://docs.google.com/spreadsheets/d/1QqKyyYR6Q21VydFLVH3TRQUabQu_ym0Zz7PgGX0-kHA/edit?usp=sharing"",""แผน!AZ77"")"),0)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IFERROR(__xludf.DUMMYFUNCTION("IMPORTRANGE(""https://docs.google.com/spreadsheets/d/1QqKyyYR6Q21VydFLVH3TRQUabQu_ym0Zz7PgGX0-kHA/edit?usp=sharing"",""แผน!BA77"")"),0)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IFERROR(__xludf.DUMMYFUNCTION("IMPORTRANGE(""https://docs.google.com/spreadsheets/d/1QqKyyYR6Q21VydFLVH3TRQUabQu_ym0Zz7PgGX0-kHA/edit?usp=sharing"",""แผน!BB77"")"),0)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IFERROR(__xludf.DUMMYFUNCTION("IMPORTRANGE(""https://docs.google.com/spreadsheets/d/1QqKyyYR6Q21VydFLVH3TRQUabQu_ym0Zz7PgGX0-kHA/edit?usp=sharing"",""แผน!BC77"")"),0)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IFERROR(__xludf.DUMMYFUNCTION("IMPORTRANGE(""https://docs.google.com/spreadsheets/d/1QqKyyYR6Q21VydFLVH3TRQUabQu_ym0Zz7PgGX0-kHA/edit?usp=sharing"",""แผน!BF77"")"),0)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22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20900</v>
      </c>
      <c r="O261" s="154">
        <f t="shared" ref="O261:O269" ca="1" si="117">IF(L261&gt;0,N261*100/L261,0)</f>
        <v>77.695167286245351</v>
      </c>
      <c r="P261" s="154">
        <f t="shared" ref="P261:P269" ca="1" si="118">IF(M261&gt;0,N261*100/M261,0)</f>
        <v>77.695167286245351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20900</v>
      </c>
      <c r="O263" s="45">
        <f t="shared" ca="1" si="117"/>
        <v>77.695167286245351</v>
      </c>
      <c r="P263" s="45">
        <f t="shared" ca="1" si="118"/>
        <v>77.695167286245351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20900</v>
      </c>
      <c r="O264" s="38">
        <f t="shared" ca="1" si="117"/>
        <v>77.695167286245351</v>
      </c>
      <c r="P264" s="38">
        <f t="shared" ca="1" si="118"/>
        <v>77.695167286245351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IFERROR(__xludf.DUMMYFUNCTION("IMPORTRANGE(""https://docs.google.com/spreadsheets/d/1MeEWN-I1oV_STSDYn1IFDPWt_1FKiwhDph83XaGc0o0/edit?usp=sharing"",""งบพรบ!CY77"")"),26900)</f>
        <v>26900</v>
      </c>
      <c r="M266" s="45">
        <f ca="1">IFERROR(__xludf.DUMMYFUNCTION("IMPORTRANGE(""https://docs.google.com/spreadsheets/d/1MeEWN-I1oV_STSDYn1IFDPWt_1FKiwhDph83XaGc0o0/edit?usp=sharing"",""งบพรบ!DD77"")"),26900)</f>
        <v>26900</v>
      </c>
      <c r="N266" s="45">
        <f ca="1">IFERROR(__xludf.DUMMYFUNCTION("IMPORTRANGE(""https://docs.google.com/spreadsheets/d/1MeEWN-I1oV_STSDYn1IFDPWt_1FKiwhDph83XaGc0o0/edit?usp=sharing"",""งบพรบ!DF77"")"),20900)</f>
        <v>20900</v>
      </c>
      <c r="O266" s="45">
        <f t="shared" ca="1" si="117"/>
        <v>77.695167286245351</v>
      </c>
      <c r="P266" s="45">
        <f t="shared" ca="1" si="118"/>
        <v>77.695167286245351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IFERROR(__xludf.DUMMYFUNCTION("IMPORTRANGE(""https://docs.google.com/spreadsheets/d/1MeEWN-I1oV_STSDYn1IFDPWt_1FKiwhDph83XaGc0o0/edit?usp=sharing"",""งบพรบ!DB77"")"),0)</f>
        <v>0</v>
      </c>
      <c r="M269" s="45">
        <f ca="1">IFERROR(__xludf.DUMMYFUNCTION("IMPORTRANGE(""https://docs.google.com/spreadsheets/d/1MeEWN-I1oV_STSDYn1IFDPWt_1FKiwhDph83XaGc0o0/edit?usp=sharing"",""งบพรบ!DE77"")"),0)</f>
        <v>0</v>
      </c>
      <c r="N269" s="45">
        <f ca="1">IFERROR(__xludf.DUMMYFUNCTION("IMPORTRANGE(""https://docs.google.com/spreadsheets/d/1MeEWN-I1oV_STSDYn1IFDPWt_1FKiwhDph83XaGc0o0/edit?usp=sharing"",""งบพรบ!DG77"")"),0)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IFERROR(__xludf.DUMMYFUNCTION("IMPORTRANGE(""https://docs.google.com/spreadsheets/d/1QqKyyYR6Q21VydFLVH3TRQUabQu_ym0Zz7PgGX0-kHA/edit?usp=sharing"",""แผน!EA77"")"),22)</f>
        <v>22</v>
      </c>
      <c r="J271" s="181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4">I287</f>
        <v>0</v>
      </c>
      <c r="J276" s="39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IFERROR(__xludf.DUMMYFUNCTION("IMPORTRANGE(""https://docs.google.com/spreadsheets/d/1MeEWN-I1oV_STSDYn1IFDPWt_1FKiwhDph83XaGc0o0/edit?usp=sharing"",""งบพรบ!DI77"")"),0)</f>
        <v>0</v>
      </c>
      <c r="M282" s="45">
        <f ca="1">IFERROR(__xludf.DUMMYFUNCTION("IMPORTRANGE(""https://docs.google.com/spreadsheets/d/1MeEWN-I1oV_STSDYn1IFDPWt_1FKiwhDph83XaGc0o0/edit?usp=sharing"",""งบพรบ!DN77"")"),0)</f>
        <v>0</v>
      </c>
      <c r="N282" s="45">
        <f ca="1">IFERROR(__xludf.DUMMYFUNCTION("IMPORTRANGE(""https://docs.google.com/spreadsheets/d/1MeEWN-I1oV_STSDYn1IFDPWt_1FKiwhDph83XaGc0o0/edit?usp=sharing"",""งบพรบ!DP77"")"),0)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IFERROR(__xludf.DUMMYFUNCTION("IMPORTRANGE(""https://docs.google.com/spreadsheets/d/1MeEWN-I1oV_STSDYn1IFDPWt_1FKiwhDph83XaGc0o0/edit?usp=sharing"",""งบพรบ!DL77"")"),0)</f>
        <v>0</v>
      </c>
      <c r="M285" s="45">
        <f ca="1">IFERROR(__xludf.DUMMYFUNCTION("IMPORTRANGE(""https://docs.google.com/spreadsheets/d/1MeEWN-I1oV_STSDYn1IFDPWt_1FKiwhDph83XaGc0o0/edit?usp=sharing"",""งบพรบ!DO77"")"),0)</f>
        <v>0</v>
      </c>
      <c r="N285" s="45">
        <f ca="1">IFERROR(__xludf.DUMMYFUNCTION("IMPORTRANGE(""https://docs.google.com/spreadsheets/d/1MeEWN-I1oV_STSDYn1IFDPWt_1FKiwhDph83XaGc0o0/edit?usp=sharing"",""งบพรบ!DQ77"")"),0)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IFERROR(__xludf.DUMMYFUNCTION("IMPORTRANGE(""https://docs.google.com/spreadsheets/d/1QqKyyYR6Q21VydFLVH3TRQUabQu_ym0Zz7PgGX0-kHA/edit?usp=sharing"",""แผน!EC77"")"),0)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IFERROR(__xludf.DUMMYFUNCTION("IMPORTRANGE(""https://docs.google.com/spreadsheets/d/1QqKyyYR6Q21VydFLVH3TRQUabQu_ym0Zz7PgGX0-kHA/edit?usp=sharing"",""แผน!EB77"")"),0)</f>
        <v>0</v>
      </c>
      <c r="J288" s="190">
        <f ca="1">IF(AND(J291&gt;=I288,J294&gt;=I288),J294,0)</f>
        <v>0</v>
      </c>
      <c r="K288" s="391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IFERROR(__xludf.DUMMYFUNCTION("IMPORTRANGE(""https://docs.google.com/spreadsheets/d/1QqKyyYR6Q21VydFLVH3TRQUabQu_ym0Zz7PgGX0-kHA/edit?usp=sharing"",""แผน!EB77"")"),0)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337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IFERROR(__xludf.DUMMYFUNCTION("IMPORTRANGE(""https://docs.google.com/spreadsheets/d/1QqKyyYR6Q21VydFLVH3TRQUabQu_ym0Zz7PgGX0-kHA/edit?usp=sharing"",""แผน!EB77"")"),0)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IFERROR(__xludf.DUMMYFUNCTION("IMPORTRANGE(""https://docs.google.com/spreadsheets/d/1QqKyyYR6Q21VydFLVH3TRQUabQu_ym0Zz7PgGX0-kHA/edit?usp=sharing"",""แผน!EB77"")"),0)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9" t="s">
        <v>337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IFERROR(__xludf.DUMMYFUNCTION("IMPORTRANGE(""https://docs.google.com/spreadsheets/d/1QqKyyYR6Q21VydFLVH3TRQUabQu_ym0Zz7PgGX0-kHA/edit?usp=sharing"",""แผน!EB77"")"),0)</f>
        <v>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IFERROR(__xludf.DUMMYFUNCTION("IMPORTRANGE(""https://docs.google.com/spreadsheets/d/1MeEWN-I1oV_STSDYn1IFDPWt_1FKiwhDph83XaGc0o0/edit?usp=sharing"",""งบพรบ!DS77"")"),0)</f>
        <v>0</v>
      </c>
      <c r="M303" s="45">
        <f ca="1">IFERROR(__xludf.DUMMYFUNCTION("IMPORTRANGE(""https://docs.google.com/spreadsheets/d/1MeEWN-I1oV_STSDYn1IFDPWt_1FKiwhDph83XaGc0o0/edit?usp=sharing"",""งบพรบ!DX77"")"),0)</f>
        <v>0</v>
      </c>
      <c r="N303" s="45">
        <f ca="1">IFERROR(__xludf.DUMMYFUNCTION("IMPORTRANGE(""https://docs.google.com/spreadsheets/d/1MeEWN-I1oV_STSDYn1IFDPWt_1FKiwhDph83XaGc0o0/edit?usp=sharing"",""งบพรบ!DZ77"")"),0)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IFERROR(__xludf.DUMMYFUNCTION("IMPORTRANGE(""https://docs.google.com/spreadsheets/d/1MeEWN-I1oV_STSDYn1IFDPWt_1FKiwhDph83XaGc0o0/edit?usp=sharing"",""งบพรบ!DV77"")"),0)</f>
        <v>0</v>
      </c>
      <c r="M306" s="45">
        <f ca="1">IFERROR(__xludf.DUMMYFUNCTION("IMPORTRANGE(""https://docs.google.com/spreadsheets/d/1MeEWN-I1oV_STSDYn1IFDPWt_1FKiwhDph83XaGc0o0/edit?usp=sharing"",""งบพรบ!DY77"")"),0)</f>
        <v>0</v>
      </c>
      <c r="N306" s="45">
        <f ca="1">IFERROR(__xludf.DUMMYFUNCTION("IMPORTRANGE(""https://docs.google.com/spreadsheets/d/1MeEWN-I1oV_STSDYn1IFDPWt_1FKiwhDph83XaGc0o0/edit?usp=sharing"",""งบพรบ!EA77"")"),0)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IFERROR(__xludf.DUMMYFUNCTION("IMPORTRANGE(""https://docs.google.com/spreadsheets/d/1QqKyyYR6Q21VydFLVH3TRQUabQu_ym0Zz7PgGX0-kHA/edit?usp=sharing"",""แผน!ED77"")"),0)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IFERROR(__xludf.DUMMYFUNCTION("IMPORTRANGE(""https://docs.google.com/spreadsheets/d/1QqKyyYR6Q21VydFLVH3TRQUabQu_ym0Zz7PgGX0-kHA/edit?usp=sharing"",""แผน!ED77"")"),0)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IFERROR(__xludf.DUMMYFUNCTION("IMPORTRANGE(""https://docs.google.com/spreadsheets/d/1QqKyyYR6Q21VydFLVH3TRQUabQu_ym0Zz7PgGX0-kHA/edit?usp=sharing"",""แผน!ED77"")"),0)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IFERROR(__xludf.DUMMYFUNCTION("IMPORTRANGE(""https://docs.google.com/spreadsheets/d/1QqKyyYR6Q21VydFLVH3TRQUabQu_ym0Zz7PgGX0-kHA/edit?usp=sharing"",""แผน!EE77"")"),0)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IFERROR(__xludf.DUMMYFUNCTION("IMPORTRANGE(""https://docs.google.com/spreadsheets/d/1MeEWN-I1oV_STSDYn1IFDPWt_1FKiwhDph83XaGc0o0/edit?usp=sharing"",""งบพรบ!EC77"")"),0)</f>
        <v>0</v>
      </c>
      <c r="M320" s="45">
        <f ca="1">IFERROR(__xludf.DUMMYFUNCTION("IMPORTRANGE(""https://docs.google.com/spreadsheets/d/1MeEWN-I1oV_STSDYn1IFDPWt_1FKiwhDph83XaGc0o0/edit?usp=sharing"",""งบพรบ!EH77"")"),0)</f>
        <v>0</v>
      </c>
      <c r="N320" s="45">
        <f ca="1">IFERROR(__xludf.DUMMYFUNCTION("IMPORTRANGE(""https://docs.google.com/spreadsheets/d/1MeEWN-I1oV_STSDYn1IFDPWt_1FKiwhDph83XaGc0o0/edit?usp=sharing"",""งบพรบ!EJ77"")"),0)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IFERROR(__xludf.DUMMYFUNCTION("IMPORTRANGE(""https://docs.google.com/spreadsheets/d/1MeEWN-I1oV_STSDYn1IFDPWt_1FKiwhDph83XaGc0o0/edit?usp=sharing"",""งบพรบ!EF77"")"),0)</f>
        <v>0</v>
      </c>
      <c r="M323" s="45">
        <f ca="1">IFERROR(__xludf.DUMMYFUNCTION("IMPORTRANGE(""https://docs.google.com/spreadsheets/d/1MeEWN-I1oV_STSDYn1IFDPWt_1FKiwhDph83XaGc0o0/edit?usp=sharing"",""งบพรบ!EI77"")"),0)</f>
        <v>0</v>
      </c>
      <c r="N323" s="45">
        <f ca="1">IFERROR(__xludf.DUMMYFUNCTION("IMPORTRANGE(""https://docs.google.com/spreadsheets/d/1MeEWN-I1oV_STSDYn1IFDPWt_1FKiwhDph83XaGc0o0/edit?usp=sharing"",""งบพรบ!EK77"")"),0)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IFERROR(__xludf.DUMMYFUNCTION("IMPORTRANGE(""https://docs.google.com/spreadsheets/d/1QqKyyYR6Q21VydFLVH3TRQUabQu_ym0Zz7PgGX0-kHA/edit?usp=sharing"",""แผน!EF77"")"),0)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IFERROR(__xludf.DUMMYFUNCTION("IMPORTRANGE(""https://docs.google.com/spreadsheets/d/1QqKyyYR6Q21VydFLVH3TRQUabQu_ym0Zz7PgGX0-kHA/edit?usp=sharing"",""แผน!EG77"")"),1700)</f>
        <v>1700</v>
      </c>
      <c r="J327" s="421">
        <f ca="1">J338+J341+J342+J343</f>
        <v>4757</v>
      </c>
      <c r="K327" s="422">
        <f ca="1">IF(I327&gt;0,J327*100/I327,0)</f>
        <v>279.8235294117647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166000</v>
      </c>
      <c r="M328" s="154">
        <f t="shared" ca="1" si="149"/>
        <v>168500</v>
      </c>
      <c r="N328" s="154">
        <f t="shared" ca="1" si="149"/>
        <v>127911.38</v>
      </c>
      <c r="O328" s="154">
        <f t="shared" ref="O328:O336" ca="1" si="150">IF(L328&gt;0,N328*100/L328,0)</f>
        <v>77.055048192771082</v>
      </c>
      <c r="P328" s="154">
        <f t="shared" ref="P328:P336" ca="1" si="151">IF(M328&gt;0,N328*100/M328,0)</f>
        <v>75.911798219584568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166000</v>
      </c>
      <c r="M330" s="45">
        <f t="shared" ca="1" si="152"/>
        <v>168500</v>
      </c>
      <c r="N330" s="45">
        <f t="shared" ca="1" si="152"/>
        <v>127911.38</v>
      </c>
      <c r="O330" s="45">
        <f t="shared" ca="1" si="150"/>
        <v>77.055048192771082</v>
      </c>
      <c r="P330" s="45">
        <f t="shared" ca="1" si="151"/>
        <v>75.911798219584568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166000</v>
      </c>
      <c r="M331" s="38">
        <f t="shared" ca="1" si="153"/>
        <v>168500</v>
      </c>
      <c r="N331" s="38">
        <f t="shared" ca="1" si="153"/>
        <v>127911.38</v>
      </c>
      <c r="O331" s="38">
        <f t="shared" ca="1" si="150"/>
        <v>77.055048192771082</v>
      </c>
      <c r="P331" s="38">
        <f t="shared" ca="1" si="151"/>
        <v>75.911798219584568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IFERROR(__xludf.DUMMYFUNCTION("IMPORTRANGE(""https://docs.google.com/spreadsheets/d/1MeEWN-I1oV_STSDYn1IFDPWt_1FKiwhDph83XaGc0o0/edit?usp=sharing"",""งบพรบ!EM77"")"),166000)</f>
        <v>166000</v>
      </c>
      <c r="M333" s="45">
        <f ca="1">IFERROR(__xludf.DUMMYFUNCTION("IMPORTRANGE(""https://docs.google.com/spreadsheets/d/1MeEWN-I1oV_STSDYn1IFDPWt_1FKiwhDph83XaGc0o0/edit?usp=sharing"",""งบพรบ!ER77"")"),168500)</f>
        <v>168500</v>
      </c>
      <c r="N333" s="45">
        <f ca="1">IFERROR(__xludf.DUMMYFUNCTION("IMPORTRANGE(""https://docs.google.com/spreadsheets/d/1MeEWN-I1oV_STSDYn1IFDPWt_1FKiwhDph83XaGc0o0/edit?usp=sharing"",""งบพรบ!ET77"")"),127911.38)</f>
        <v>127911.38</v>
      </c>
      <c r="O333" s="45">
        <f t="shared" ca="1" si="150"/>
        <v>77.055048192771082</v>
      </c>
      <c r="P333" s="45">
        <f t="shared" ca="1" si="151"/>
        <v>75.911798219584568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IFERROR(__xludf.DUMMYFUNCTION("IMPORTRANGE(""https://docs.google.com/spreadsheets/d/1MeEWN-I1oV_STSDYn1IFDPWt_1FKiwhDph83XaGc0o0/edit?usp=sharing"",""งบพรบ!EP77"")"),0)</f>
        <v>0</v>
      </c>
      <c r="M336" s="45">
        <f ca="1">IFERROR(__xludf.DUMMYFUNCTION("IMPORTRANGE(""https://docs.google.com/spreadsheets/d/1MeEWN-I1oV_STSDYn1IFDPWt_1FKiwhDph83XaGc0o0/edit?usp=sharing"",""งบพรบ!ES77"")"),0)</f>
        <v>0</v>
      </c>
      <c r="N336" s="45">
        <f ca="1">IFERROR(__xludf.DUMMYFUNCTION("IMPORTRANGE(""https://docs.google.com/spreadsheets/d/1MeEWN-I1oV_STSDYn1IFDPWt_1FKiwhDph83XaGc0o0/edit?usp=sharing"",""งบพรบ!EU77"")"),0)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IFERROR(__xludf.DUMMYFUNCTION("IMPORTRANGE(""https://docs.google.com/spreadsheets/d/1QqKyyYR6Q21VydFLVH3TRQUabQu_ym0Zz7PgGX0-kHA/edit?usp=sharing"",""แผน!EG77"")"),1700)</f>
        <v>1700</v>
      </c>
      <c r="J338" s="37">
        <f ca="1">IFERROR(__xludf.DUMMYFUNCTION("IMPORTRANGE(""https://docs.google.com/spreadsheets/d/1kVcqe37tkHyjCSG3S0O1AXqVkqjo8mSIZil3BcpIysc/edit?usp=sharing"",""ศูนย์!D77"")"),4602)</f>
        <v>4602</v>
      </c>
      <c r="K338" s="38">
        <f ca="1">IF(I338&gt;0,J338*100/I338,0)</f>
        <v>270.70588235294116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IFERROR(__xludf.DUMMYFUNCTION("IMPORTRANGE(""https://docs.google.com/spreadsheets/d/1QqKyyYR6Q21VydFLVH3TRQUabQu_ym0Zz7PgGX0-kHA/edit?usp=sharing"",""แผน!EH77"")"),4)</f>
        <v>4</v>
      </c>
      <c r="J340" s="37">
        <f ca="1">IFERROR(__xludf.DUMMYFUNCTION("IMPORTRANGE(""https://docs.google.com/spreadsheets/d/1kVcqe37tkHyjCSG3S0O1AXqVkqjo8mSIZil3BcpIysc/edit?usp=sharing"",""ศูนย์!E77"")"),4)</f>
        <v>4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IFERROR(__xludf.DUMMYFUNCTION("IMPORTRANGE(""https://docs.google.com/spreadsheets/d/1kVcqe37tkHyjCSG3S0O1AXqVkqjo8mSIZil3BcpIysc/edit?usp=sharing"",""ศูนย์!F77"")"),155)</f>
        <v>155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IFERROR(__xludf.DUMMYFUNCTION("IMPORTRANGE(""https://docs.google.com/spreadsheets/d/1kVcqe37tkHyjCSG3S0O1AXqVkqjo8mSIZil3BcpIysc/edit?usp=sharing"",""ศูนย์!G77"")"),0)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IFERROR(__xludf.DUMMYFUNCTION("IMPORTRANGE(""https://docs.google.com/spreadsheets/d/1kVcqe37tkHyjCSG3S0O1AXqVkqjo8mSIZil3BcpIysc/edit?usp=sharing"",""ศูนย์!H77"")"),0)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997600</v>
      </c>
      <c r="M345" s="154">
        <f t="shared" ca="1" si="155"/>
        <v>1065400</v>
      </c>
      <c r="N345" s="154">
        <f t="shared" ca="1" si="155"/>
        <v>815453.43</v>
      </c>
      <c r="O345" s="154">
        <f t="shared" ref="O345:O353" ca="1" si="156">IF(L345&gt;0,N345*100/L345,0)</f>
        <v>81.741522654370485</v>
      </c>
      <c r="P345" s="154">
        <f t="shared" ref="P345:P353" ca="1" si="157">IF(M345&gt;0,N345*100/M345,0)</f>
        <v>76.539649896752394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997600</v>
      </c>
      <c r="M347" s="45">
        <f t="shared" ca="1" si="158"/>
        <v>1065400</v>
      </c>
      <c r="N347" s="45">
        <f t="shared" ca="1" si="158"/>
        <v>815453.43</v>
      </c>
      <c r="O347" s="45">
        <f t="shared" ca="1" si="156"/>
        <v>81.741522654370485</v>
      </c>
      <c r="P347" s="45">
        <f t="shared" ca="1" si="157"/>
        <v>76.539649896752394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868000</v>
      </c>
      <c r="M348" s="38">
        <f t="shared" ca="1" si="159"/>
        <v>935800</v>
      </c>
      <c r="N348" s="38">
        <f t="shared" ca="1" si="159"/>
        <v>685853.43</v>
      </c>
      <c r="O348" s="38">
        <f t="shared" ca="1" si="156"/>
        <v>79.015372119815666</v>
      </c>
      <c r="P348" s="38">
        <f t="shared" ca="1" si="157"/>
        <v>73.290599487069883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IFERROR(__xludf.DUMMYFUNCTION("IMPORTRANGE(""https://docs.google.com/spreadsheets/d/1MeEWN-I1oV_STSDYn1IFDPWt_1FKiwhDph83XaGc0o0/edit?usp=sharing"",""งบพรบ!EW77"")"),868000)</f>
        <v>868000</v>
      </c>
      <c r="M350" s="45">
        <f ca="1">IFERROR(__xludf.DUMMYFUNCTION("IMPORTRANGE(""https://docs.google.com/spreadsheets/d/1MeEWN-I1oV_STSDYn1IFDPWt_1FKiwhDph83XaGc0o0/edit?usp=sharing"",""งบพรบ!FB77"")"),935800)</f>
        <v>935800</v>
      </c>
      <c r="N350" s="45">
        <f ca="1">IFERROR(__xludf.DUMMYFUNCTION("IMPORTRANGE(""https://docs.google.com/spreadsheets/d/1MeEWN-I1oV_STSDYn1IFDPWt_1FKiwhDph83XaGc0o0/edit?usp=sharing"",""งบพรบ!FD77"")"),685853.43)</f>
        <v>685853.43</v>
      </c>
      <c r="O350" s="45">
        <f t="shared" ca="1" si="156"/>
        <v>79.015372119815666</v>
      </c>
      <c r="P350" s="45">
        <f t="shared" ca="1" si="157"/>
        <v>73.290599487069883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129600</v>
      </c>
      <c r="M351" s="38">
        <f t="shared" ca="1" si="160"/>
        <v>129600</v>
      </c>
      <c r="N351" s="38">
        <f t="shared" ca="1" si="160"/>
        <v>129600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IFERROR(__xludf.DUMMYFUNCTION("IMPORTRANGE(""https://docs.google.com/spreadsheets/d/1MeEWN-I1oV_STSDYn1IFDPWt_1FKiwhDph83XaGc0o0/edit?usp=sharing"",""งบพรบ!EZ77"")"),129600)</f>
        <v>129600</v>
      </c>
      <c r="M353" s="45">
        <f ca="1">IFERROR(__xludf.DUMMYFUNCTION("IMPORTRANGE(""https://docs.google.com/spreadsheets/d/1MeEWN-I1oV_STSDYn1IFDPWt_1FKiwhDph83XaGc0o0/edit?usp=sharing"",""งบพรบ!FC77"")"),129600)</f>
        <v>129600</v>
      </c>
      <c r="N353" s="45">
        <f ca="1">IFERROR(__xludf.DUMMYFUNCTION("IMPORTRANGE(""https://docs.google.com/spreadsheets/d/1MeEWN-I1oV_STSDYn1IFDPWt_1FKiwhDph83XaGc0o0/edit?usp=sharing"",""งบพรบ!FE77"")"),129600)</f>
        <v>129600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IFERROR(__xludf.DUMMYFUNCTION("IMPORTRANGE(""https://docs.google.com/spreadsheets/d/1QqKyyYR6Q21VydFLVH3TRQUabQu_ym0Zz7PgGX0-kHA/edit?usp=sharing"",""แผน!EP77"")"),332)</f>
        <v>332</v>
      </c>
      <c r="J355" s="438">
        <f ca="1">J362</f>
        <v>92</v>
      </c>
      <c r="K355" s="439">
        <f ca="1">IF(I355&gt;0,J355*100/I355,0)</f>
        <v>27.710843373493976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IFERROR(__xludf.DUMMYFUNCTION("IMPORTRANGE(""https://docs.google.com/spreadsheets/d/1XWAQStnk-4SwqDmLtmXYiTMKHgktTP8We1SCoS47DrQ/edit?usp=sharing"",""จัดที่ดิน!W77"")"),297)</f>
        <v>297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IFERROR(__xludf.DUMMYFUNCTION("IMPORTRANGE(""https://docs.google.com/spreadsheets/d/1QqKyyYR6Q21VydFLVH3TRQUabQu_ym0Zz7PgGX0-kHA/edit?usp=sharing"",""แผน!EO77"")"),2700)</f>
        <v>2700</v>
      </c>
      <c r="J359" s="37">
        <f ca="1">IFERROR(__xludf.DUMMYFUNCTION("IMPORTRANGE(""https://docs.google.com/spreadsheets/d/1XWAQStnk-4SwqDmLtmXYiTMKHgktTP8We1SCoS47DrQ/edit?usp=sharing"",""จัดที่ดิน!X77"")"),2284.67)</f>
        <v>2284.67</v>
      </c>
      <c r="K359" s="38">
        <f t="shared" ca="1" si="161"/>
        <v>84.617407407407413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IFERROR(__xludf.DUMMYFUNCTION("IMPORTRANGE(""https://docs.google.com/spreadsheets/d/1QqKyyYR6Q21VydFLVH3TRQUabQu_ym0Zz7PgGX0-kHA/edit?usp=sharing"",""แผน!EP77"")"),332)</f>
        <v>332</v>
      </c>
      <c r="J360" s="37">
        <f ca="1">IFERROR(__xludf.DUMMYFUNCTION("IMPORTRANGE(""https://docs.google.com/spreadsheets/d/1XWAQStnk-4SwqDmLtmXYiTMKHgktTP8We1SCoS47DrQ/edit?usp=sharing"",""จัดที่ดิน!Y77"")"),118)</f>
        <v>118</v>
      </c>
      <c r="K360" s="38">
        <f t="shared" ca="1" si="161"/>
        <v>35.542168674698793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IFERROR(__xludf.DUMMYFUNCTION("IMPORTRANGE(""https://docs.google.com/spreadsheets/d/1XWAQStnk-4SwqDmLtmXYiTMKHgktTP8We1SCoS47DrQ/edit?usp=sharing"",""จัดที่ดิน!Z77"")"),1084.2)</f>
        <v>1084.2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IFERROR(__xludf.DUMMYFUNCTION("IMPORTRANGE(""https://docs.google.com/spreadsheets/d/1QqKyyYR6Q21VydFLVH3TRQUabQu_ym0Zz7PgGX0-kHA/edit?usp=sharing"",""แผน!EP77"")"),332)</f>
        <v>332</v>
      </c>
      <c r="J362" s="37">
        <f ca="1">IFERROR(__xludf.DUMMYFUNCTION("IMPORTRANGE(""https://docs.google.com/spreadsheets/d/1XWAQStnk-4SwqDmLtmXYiTMKHgktTP8We1SCoS47DrQ/edit?usp=sharing"",""จัดที่ดิน!AA77"")"),92)</f>
        <v>92</v>
      </c>
      <c r="K362" s="38">
        <f t="shared" ca="1" si="161"/>
        <v>27.710843373493976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IFERROR(__xludf.DUMMYFUNCTION("IMPORTRANGE(""https://docs.google.com/spreadsheets/d/1XWAQStnk-4SwqDmLtmXYiTMKHgktTP8We1SCoS47DrQ/edit?usp=sharing"",""จัดที่ดิน!AB77"")"),894.61)</f>
        <v>894.61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502</v>
      </c>
      <c r="J364" s="452">
        <f t="shared" ca="1" si="162"/>
        <v>211</v>
      </c>
      <c r="K364" s="453">
        <f t="shared" ca="1" si="161"/>
        <v>42.031872509960159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IFERROR(__xludf.DUMMYFUNCTION("IMPORTRANGE(""https://docs.google.com/spreadsheets/d/1QqKyyYR6Q21VydFLVH3TRQUabQu_ym0Zz7PgGX0-kHA/edit?usp=sharing"",""แผน!EJ77"")"),182)</f>
        <v>182</v>
      </c>
      <c r="J365" s="462">
        <f ca="1">J372</f>
        <v>83</v>
      </c>
      <c r="K365" s="463">
        <f t="shared" ca="1" si="161"/>
        <v>45.604395604395606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IFERROR(__xludf.DUMMYFUNCTION("IMPORTRANGE(""https://docs.google.com/spreadsheets/d/1XWAQStnk-4SwqDmLtmXYiTMKHgktTP8We1SCoS47DrQ/edit?usp=sharing"",""จัดที่ดิน!E77"")"),109)</f>
        <v>109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IFERROR(__xludf.DUMMYFUNCTION("IMPORTRANGE(""https://docs.google.com/spreadsheets/d/1QqKyyYR6Q21VydFLVH3TRQUabQu_ym0Zz7PgGX0-kHA/edit?usp=sharing"",""แผน!EI77"")"),1300)</f>
        <v>1300</v>
      </c>
      <c r="J369" s="37">
        <f ca="1">IFERROR(__xludf.DUMMYFUNCTION("IMPORTRANGE(""https://docs.google.com/spreadsheets/d/1XWAQStnk-4SwqDmLtmXYiTMKHgktTP8We1SCoS47DrQ/edit?usp=sharing"",""จัดที่ดิน!F77"")"),1025.39)</f>
        <v>1025.3900000000001</v>
      </c>
      <c r="K369" s="38">
        <f t="shared" ca="1" si="163"/>
        <v>78.876153846153855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IFERROR(__xludf.DUMMYFUNCTION("IMPORTRANGE(""https://docs.google.com/spreadsheets/d/1QqKyyYR6Q21VydFLVH3TRQUabQu_ym0Zz7PgGX0-kHA/edit?usp=sharing"",""แผน!EJ77"")"),182)</f>
        <v>182</v>
      </c>
      <c r="J370" s="37">
        <f ca="1">IFERROR(__xludf.DUMMYFUNCTION("IMPORTRANGE(""https://docs.google.com/spreadsheets/d/1XWAQStnk-4SwqDmLtmXYiTMKHgktTP8We1SCoS47DrQ/edit?usp=sharing"",""จัดที่ดิน!G77"")"),91)</f>
        <v>91</v>
      </c>
      <c r="K370" s="38">
        <f t="shared" ca="1" si="163"/>
        <v>50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IFERROR(__xludf.DUMMYFUNCTION("IMPORTRANGE(""https://docs.google.com/spreadsheets/d/1XWAQStnk-4SwqDmLtmXYiTMKHgktTP8We1SCoS47DrQ/edit?usp=sharing"",""จัดที่ดิน!H77"")"),929.87)</f>
        <v>929.87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IFERROR(__xludf.DUMMYFUNCTION("IMPORTRANGE(""https://docs.google.com/spreadsheets/d/1QqKyyYR6Q21VydFLVH3TRQUabQu_ym0Zz7PgGX0-kHA/edit?usp=sharing"",""แผน!EJ77"")"),182)</f>
        <v>182</v>
      </c>
      <c r="J372" s="37">
        <f ca="1">IFERROR(__xludf.DUMMYFUNCTION("IMPORTRANGE(""https://docs.google.com/spreadsheets/d/1XWAQStnk-4SwqDmLtmXYiTMKHgktTP8We1SCoS47DrQ/edit?usp=sharing"",""จัดที่ดิน!I77"")"),83)</f>
        <v>83</v>
      </c>
      <c r="K372" s="38">
        <f t="shared" ca="1" si="163"/>
        <v>45.604395604395606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IFERROR(__xludf.DUMMYFUNCTION("IMPORTRANGE(""https://docs.google.com/spreadsheets/d/1XWAQStnk-4SwqDmLtmXYiTMKHgktTP8We1SCoS47DrQ/edit?usp=sharing"",""จัดที่ดิน!J77"")"),826.5)</f>
        <v>826.5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IFERROR(__xludf.DUMMYFUNCTION("IMPORTRANGE(""https://docs.google.com/spreadsheets/d/1QqKyyYR6Q21VydFLVH3TRQUabQu_ym0Zz7PgGX0-kHA/edit?usp=sharing"",""แผน!EU77"")"),320)</f>
        <v>320</v>
      </c>
      <c r="J374" s="462">
        <f ca="1">J381</f>
        <v>128</v>
      </c>
      <c r="K374" s="463">
        <f t="shared" ca="1" si="163"/>
        <v>40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IFERROR(__xludf.DUMMYFUNCTION("IMPORTRANGE(""https://docs.google.com/spreadsheets/d/1XWAQStnk-4SwqDmLtmXYiTMKHgktTP8We1SCoS47DrQ/edit?usp=sharing"",""จัดที่ดิน!AH77"")"),188)</f>
        <v>188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IFERROR(__xludf.DUMMYFUNCTION("IMPORTRANGE(""https://docs.google.com/spreadsheets/d/1QqKyyYR6Q21VydFLVH3TRQUabQu_ym0Zz7PgGX0-kHA/edit?usp=sharing"",""แผน!ET77"")"),1400)</f>
        <v>1400</v>
      </c>
      <c r="J378" s="37">
        <f ca="1">IFERROR(__xludf.DUMMYFUNCTION("IMPORTRANGE(""https://docs.google.com/spreadsheets/d/1XWAQStnk-4SwqDmLtmXYiTMKHgktTP8We1SCoS47DrQ/edit?usp=sharing"",""จัดที่ดิน!AI77"")"),1259.28)</f>
        <v>1259.28</v>
      </c>
      <c r="K378" s="38">
        <f t="shared" ca="1" si="164"/>
        <v>89.948571428571427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IFERROR(__xludf.DUMMYFUNCTION("IMPORTRANGE(""https://docs.google.com/spreadsheets/d/1QqKyyYR6Q21VydFLVH3TRQUabQu_ym0Zz7PgGX0-kHA/edit?usp=sharing"",""แผน!EU77"")"),320)</f>
        <v>320</v>
      </c>
      <c r="J379" s="37">
        <f ca="1">IFERROR(__xludf.DUMMYFUNCTION("IMPORTRANGE(""https://docs.google.com/spreadsheets/d/1XWAQStnk-4SwqDmLtmXYiTMKHgktTP8We1SCoS47DrQ/edit?usp=sharing"",""จัดที่ดิน!AJ77"")"),146)</f>
        <v>146</v>
      </c>
      <c r="K379" s="38">
        <f t="shared" ca="1" si="164"/>
        <v>45.625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IFERROR(__xludf.DUMMYFUNCTION("IMPORTRANGE(""https://docs.google.com/spreadsheets/d/1XWAQStnk-4SwqDmLtmXYiTMKHgktTP8We1SCoS47DrQ/edit?usp=sharing"",""จัดที่ดิน!AK77"")"),1412.97)</f>
        <v>1412.97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IFERROR(__xludf.DUMMYFUNCTION("IMPORTRANGE(""https://docs.google.com/spreadsheets/d/1QqKyyYR6Q21VydFLVH3TRQUabQu_ym0Zz7PgGX0-kHA/edit?usp=sharing"",""แผน!EU77"")"),320)</f>
        <v>320</v>
      </c>
      <c r="J381" s="37">
        <f ca="1">IFERROR(__xludf.DUMMYFUNCTION("IMPORTRANGE(""https://docs.google.com/spreadsheets/d/1XWAQStnk-4SwqDmLtmXYiTMKHgktTP8We1SCoS47DrQ/edit?usp=sharing"",""จัดที่ดิน!AL77"")"),128)</f>
        <v>128</v>
      </c>
      <c r="K381" s="38">
        <f t="shared" ca="1" si="164"/>
        <v>40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IFERROR(__xludf.DUMMYFUNCTION("IMPORTRANGE(""https://docs.google.com/spreadsheets/d/1XWAQStnk-4SwqDmLtmXYiTMKHgktTP8We1SCoS47DrQ/edit?usp=sharing"",""จัดที่ดิน!AM77"")"),1326.75)</f>
        <v>1326.75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IFERROR(__xludf.DUMMYFUNCTION("IMPORTRANGE(""https://docs.google.com/spreadsheets/d/1QqKyyYR6Q21VydFLVH3TRQUabQu_ym0Zz7PgGX0-kHA/edit?usp=sharing"",""แผน!EW77"")"),20)</f>
        <v>20</v>
      </c>
      <c r="J385" s="365">
        <f ca="1">IFERROR(__xludf.DUMMYFUNCTION("IMPORTRANGE(""https://docs.google.com/spreadsheets/d/1XWAQStnk-4SwqDmLtmXYiTMKHgktTP8We1SCoS47DrQ/edit?usp=sharing"",""จัดที่ดิน!AP77"")"),4)</f>
        <v>4</v>
      </c>
      <c r="K385" s="475">
        <f ca="1">IF(I385&gt;0,J385*100/I385,0)</f>
        <v>20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IFERROR(__xludf.DUMMYFUNCTION("IMPORTRANGE(""https://docs.google.com/spreadsheets/d/1MeEWN-I1oV_STSDYn1IFDPWt_1FKiwhDph83XaGc0o0/edit?usp=sharing"",""งบพรบ!FG77"")"),0)</f>
        <v>0</v>
      </c>
      <c r="M394" s="45">
        <f ca="1">IFERROR(__xludf.DUMMYFUNCTION("IMPORTRANGE(""https://docs.google.com/spreadsheets/d/1MeEWN-I1oV_STSDYn1IFDPWt_1FKiwhDph83XaGc0o0/edit?usp=sharing"",""งบพรบ!FL77"")"),0)</f>
        <v>0</v>
      </c>
      <c r="N394" s="45">
        <f ca="1">IFERROR(__xludf.DUMMYFUNCTION("IMPORTRANGE(""https://docs.google.com/spreadsheets/d/1MeEWN-I1oV_STSDYn1IFDPWt_1FKiwhDph83XaGc0o0/edit?usp=sharing"",""งบพรบ!FN77"")"),0)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IFERROR(__xludf.DUMMYFUNCTION("IMPORTRANGE(""https://docs.google.com/spreadsheets/d/1MeEWN-I1oV_STSDYn1IFDPWt_1FKiwhDph83XaGc0o0/edit?usp=sharing"",""งบพรบ!FJ77"")"),0)</f>
        <v>0</v>
      </c>
      <c r="M397" s="45">
        <f ca="1">IFERROR(__xludf.DUMMYFUNCTION("IMPORTRANGE(""https://docs.google.com/spreadsheets/d/1MeEWN-I1oV_STSDYn1IFDPWt_1FKiwhDph83XaGc0o0/edit?usp=sharing"",""งบพรบ!FM77"")"),0)</f>
        <v>0</v>
      </c>
      <c r="N397" s="45">
        <f ca="1">IFERROR(__xludf.DUMMYFUNCTION("IMPORTRANGE(""https://docs.google.com/spreadsheets/d/1MeEWN-I1oV_STSDYn1IFDPWt_1FKiwhDph83XaGc0o0/edit?usp=sharing"",""งบพรบ!FO77"")"),0)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0</v>
      </c>
      <c r="J401" s="495">
        <f t="shared" si="173"/>
        <v>0</v>
      </c>
      <c r="K401" s="496">
        <f t="shared" si="172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IFERROR(__xludf.DUMMYFUNCTION("IMPORTRANGE(""https://docs.google.com/spreadsheets/d/1MeEWN-I1oV_STSDYn1IFDPWt_1FKiwhDph83XaGc0o0/edit?usp=sharing"",""งบพรบ!FQ77"")"),0)</f>
        <v>0</v>
      </c>
      <c r="M407" s="45">
        <f ca="1">IFERROR(__xludf.DUMMYFUNCTION("IMPORTRANGE(""https://docs.google.com/spreadsheets/d/1MeEWN-I1oV_STSDYn1IFDPWt_1FKiwhDph83XaGc0o0/edit?usp=sharing"",""งบพรบ!FV77"")"),0)</f>
        <v>0</v>
      </c>
      <c r="N407" s="45">
        <f ca="1">IFERROR(__xludf.DUMMYFUNCTION("IMPORTRANGE(""https://docs.google.com/spreadsheets/d/1MeEWN-I1oV_STSDYn1IFDPWt_1FKiwhDph83XaGc0o0/edit?usp=sharing"",""งบพรบ!FX77"")"),0)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IFERROR(__xludf.DUMMYFUNCTION("IMPORTRANGE(""https://docs.google.com/spreadsheets/d/1MeEWN-I1oV_STSDYn1IFDPWt_1FKiwhDph83XaGc0o0/edit?usp=sharing"",""งบพรบ!FT77"")"),0)</f>
        <v>0</v>
      </c>
      <c r="M410" s="45">
        <f ca="1">IFERROR(__xludf.DUMMYFUNCTION("IMPORTRANGE(""https://docs.google.com/spreadsheets/d/1MeEWN-I1oV_STSDYn1IFDPWt_1FKiwhDph83XaGc0o0/edit?usp=sharing"",""งบพรบ!FW77"")"),0)</f>
        <v>0</v>
      </c>
      <c r="N410" s="45">
        <f ca="1">IFERROR(__xludf.DUMMYFUNCTION("IMPORTRANGE(""https://docs.google.com/spreadsheets/d/1MeEWN-I1oV_STSDYn1IFDPWt_1FKiwhDph83XaGc0o0/edit?usp=sharing"",""งบพรบ!FY77"")"),0)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80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844092</v>
      </c>
      <c r="M414" s="521">
        <f t="shared" ca="1" si="181"/>
        <v>844092</v>
      </c>
      <c r="N414" s="521">
        <f t="shared" si="181"/>
        <v>731665.64999999991</v>
      </c>
      <c r="O414" s="521">
        <f ca="1">IF(L414&gt;0,N414*100/L414,0)</f>
        <v>86.680794273609962</v>
      </c>
      <c r="P414" s="521">
        <f ca="1">IF(M414&gt;0,N414*100/M414,0)</f>
        <v>86.680794273609962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15</v>
      </c>
      <c r="J417" s="536">
        <f t="shared" ca="1" si="182"/>
        <v>15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1</v>
      </c>
      <c r="J418" s="536">
        <f t="shared" si="182"/>
        <v>1</v>
      </c>
      <c r="K418" s="537">
        <f t="shared" ca="1" si="183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66560</v>
      </c>
      <c r="M419" s="154">
        <f t="shared" ca="1" si="184"/>
        <v>66560</v>
      </c>
      <c r="N419" s="154">
        <f t="shared" si="184"/>
        <v>60921.53</v>
      </c>
      <c r="O419" s="154">
        <f t="shared" ref="O419:O424" ca="1" si="185">IF(L419&gt;0,N419*100/L419,0)</f>
        <v>91.528740985576917</v>
      </c>
      <c r="P419" s="154">
        <f t="shared" ref="P419:P424" ca="1" si="186">IF(M419&gt;0,N419*100/M419,0)</f>
        <v>91.528740985576917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66560</v>
      </c>
      <c r="M421" s="45">
        <f t="shared" ca="1" si="187"/>
        <v>66560</v>
      </c>
      <c r="N421" s="45">
        <f t="shared" si="187"/>
        <v>60921.53</v>
      </c>
      <c r="O421" s="45">
        <f t="shared" ca="1" si="185"/>
        <v>91.528740985576917</v>
      </c>
      <c r="P421" s="45">
        <f t="shared" ca="1" si="186"/>
        <v>91.528740985576917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66560</v>
      </c>
      <c r="M422" s="38">
        <f t="shared" ca="1" si="188"/>
        <v>66560</v>
      </c>
      <c r="N422" s="38">
        <f t="shared" si="188"/>
        <v>60921.53</v>
      </c>
      <c r="O422" s="38">
        <f t="shared" ca="1" si="185"/>
        <v>91.528740985576917</v>
      </c>
      <c r="P422" s="38">
        <f t="shared" ca="1" si="186"/>
        <v>91.528740985576917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IFERROR(__xludf.DUMMYFUNCTION("IMPORTRANGE(""https://docs.google.com/spreadsheets/d/1QqKyyYR6Q21VydFLVH3TRQUabQu_ym0Zz7PgGX0-kHA/edit?usp=sharing"",""แผน!EY77"")"),66560)</f>
        <v>66560</v>
      </c>
      <c r="M424" s="45">
        <f ca="1">L424</f>
        <v>66560</v>
      </c>
      <c r="N424" s="45">
        <f>N425+N426+N427+N428</f>
        <v>60921.53</v>
      </c>
      <c r="O424" s="45">
        <f t="shared" ca="1" si="185"/>
        <v>91.528740985576917</v>
      </c>
      <c r="P424" s="45">
        <f t="shared" ca="1" si="186"/>
        <v>91.528740985576917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38500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22421.53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IFERROR(__xludf.DUMMYFUNCTION("IMPORTRANGE(""https://docs.google.com/spreadsheets/d/1QqKyyYR6Q21VydFLVH3TRQUabQu_ym0Zz7PgGX0-kHA/edit?usp=sharing"",""แผน!FB77"")"),0)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IFERROR(__xludf.DUMMYFUNCTION("IMPORTRANGE(""https://docs.google.com/spreadsheets/d/1QqKyyYR6Q21VydFLVH3TRQUabQu_ym0Zz7PgGX0-kHA/edit?usp=sharing"",""แผน!FC77"")"),15)</f>
        <v>15</v>
      </c>
      <c r="J435" s="549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IFERROR(__xludf.DUMMYFUNCTION("IMPORTRANGE(""https://docs.google.com/spreadsheets/d/1QqKyyYR6Q21VydFLVH3TRQUabQu_ym0Zz7PgGX0-kHA/edit?usp=sharing"",""แผน!FD77"")"),0)</f>
        <v>0</v>
      </c>
      <c r="J437" s="549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IFERROR(__xludf.DUMMYFUNCTION("IMPORTRANGE(""https://docs.google.com/spreadsheets/d/1QqKyyYR6Q21VydFLVH3TRQUabQu_ym0Zz7PgGX0-kHA/edit?usp=sharing"",""แผน!FE77"")"),0)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IFERROR(__xludf.DUMMYFUNCTION("IMPORTRANGE(""https://docs.google.com/spreadsheets/d/1QqKyyYR6Q21VydFLVH3TRQUabQu_ym0Zz7PgGX0-kHA/edit?usp=sharing"",""แผน!FF77"")"),15)</f>
        <v>15</v>
      </c>
      <c r="J439" s="549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IFERROR(__xludf.DUMMYFUNCTION("IMPORTRANGE(""https://docs.google.com/spreadsheets/d/1QqKyyYR6Q21VydFLVH3TRQUabQu_ym0Zz7PgGX0-kHA/edit?usp=sharing"",""แผน!FG77"")"),1)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IFERROR(__xludf.DUMMYFUNCTION("IMPORTRANGE(""https://docs.google.com/spreadsheets/d/1QqKyyYR6Q21VydFLVH3TRQUabQu_ym0Zz7PgGX0-kHA/edit?usp=sharing"",""แผน!FH77"")"),0)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10</v>
      </c>
      <c r="J442" s="555">
        <f t="shared" si="195"/>
        <v>10</v>
      </c>
      <c r="K442" s="556">
        <f t="shared" ca="1" si="194"/>
        <v>100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30</v>
      </c>
      <c r="J443" s="536">
        <f t="shared" si="196"/>
        <v>30</v>
      </c>
      <c r="K443" s="537">
        <f t="shared" ca="1" si="194"/>
        <v>100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87960</v>
      </c>
      <c r="M444" s="191">
        <f t="shared" ca="1" si="197"/>
        <v>87960</v>
      </c>
      <c r="N444" s="191">
        <f t="shared" si="197"/>
        <v>75768.08</v>
      </c>
      <c r="O444" s="191">
        <f t="shared" ref="O444:O449" ca="1" si="198">IF(L444&gt;0,N444*100/L444,0)</f>
        <v>86.139245111414283</v>
      </c>
      <c r="P444" s="191">
        <f t="shared" ref="P444:P449" ca="1" si="199">IF(M444&gt;0,N444*100/M444,0)</f>
        <v>86.139245111414283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87960</v>
      </c>
      <c r="M446" s="45">
        <f t="shared" ca="1" si="200"/>
        <v>87960</v>
      </c>
      <c r="N446" s="45">
        <f t="shared" si="200"/>
        <v>75768.08</v>
      </c>
      <c r="O446" s="45">
        <f t="shared" ca="1" si="198"/>
        <v>86.139245111414283</v>
      </c>
      <c r="P446" s="45">
        <f t="shared" ca="1" si="199"/>
        <v>86.139245111414283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87960</v>
      </c>
      <c r="M447" s="38">
        <f t="shared" ca="1" si="201"/>
        <v>87960</v>
      </c>
      <c r="N447" s="38">
        <f t="shared" si="201"/>
        <v>75768.08</v>
      </c>
      <c r="O447" s="38">
        <f t="shared" ca="1" si="198"/>
        <v>86.139245111414283</v>
      </c>
      <c r="P447" s="38">
        <f t="shared" ca="1" si="199"/>
        <v>86.139245111414283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IFERROR(__xludf.DUMMYFUNCTION("IMPORTRANGE(""https://docs.google.com/spreadsheets/d/1QqKyyYR6Q21VydFLVH3TRQUabQu_ym0Zz7PgGX0-kHA/edit?usp=sharing"",""แผน!FJ77"")"),87960)</f>
        <v>87960</v>
      </c>
      <c r="M449" s="45">
        <f ca="1">L449</f>
        <v>87960</v>
      </c>
      <c r="N449" s="45">
        <f>N450+N451+N452+N453</f>
        <v>75768.08</v>
      </c>
      <c r="O449" s="45">
        <f t="shared" ca="1" si="198"/>
        <v>86.139245111414283</v>
      </c>
      <c r="P449" s="45">
        <f t="shared" ca="1" si="199"/>
        <v>86.139245111414283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18153.599999999999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43010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14604.48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IFERROR(__xludf.DUMMYFUNCTION("IMPORTRANGE(""https://docs.google.com/spreadsheets/d/1QqKyyYR6Q21VydFLVH3TRQUabQu_ym0Zz7PgGX0-kHA/edit?usp=sharing"",""แผน!FM77"")"),0)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IFERROR(__xludf.DUMMYFUNCTION("IMPORTRANGE(""https://docs.google.com/spreadsheets/d/1QqKyyYR6Q21VydFLVH3TRQUabQu_ym0Zz7PgGX0-kHA/edit?usp=sharing"",""แผน!FN77"")"),10)</f>
        <v>10</v>
      </c>
      <c r="J460" s="181">
        <v>10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IFERROR(__xludf.DUMMYFUNCTION("IMPORTRANGE(""https://docs.google.com/spreadsheets/d/1QqKyyYR6Q21VydFLVH3TRQUabQu_ym0Zz7PgGX0-kHA/edit?usp=sharing"",""แผน!FO77"")"),30)</f>
        <v>30</v>
      </c>
      <c r="J462" s="181">
        <v>30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IFERROR(__xludf.DUMMYFUNCTION("IMPORTRANGE(""https://docs.google.com/spreadsheets/d/1QqKyyYR6Q21VydFLVH3TRQUabQu_ym0Zz7PgGX0-kHA/edit?usp=sharing"",""แผน!FO77"")"),30)</f>
        <v>30</v>
      </c>
      <c r="J463" s="181">
        <v>30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IFERROR(__xludf.DUMMYFUNCTION("IMPORTRANGE(""https://docs.google.com/spreadsheets/d/1QqKyyYR6Q21VydFLVH3TRQUabQu_ym0Zz7PgGX0-kHA/edit?usp=sharing"",""แผน!FN77"")"),10)</f>
        <v>10</v>
      </c>
      <c r="J464" s="181">
        <v>10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IFERROR(__xludf.DUMMYFUNCTION("IMPORTRANGE(""https://docs.google.com/spreadsheets/d/1QqKyyYR6Q21VydFLVH3TRQUabQu_ym0Zz7PgGX0-kHA/edit?usp=sharing"",""แผน!FX77"")"),41)</f>
        <v>41</v>
      </c>
      <c r="J465" s="555">
        <f>J485+J489+J492</f>
        <v>41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IFERROR(__xludf.DUMMYFUNCTION("IMPORTRANGE(""https://docs.google.com/spreadsheets/d/1QqKyyYR6Q21VydFLVH3TRQUabQu_ym0Zz7PgGX0-kHA/edit?usp=sharing"",""แผน!FW77"")"),400)</f>
        <v>400</v>
      </c>
      <c r="J466" s="536">
        <f>J495+J498</f>
        <v>400</v>
      </c>
      <c r="K466" s="537">
        <f t="shared" ca="1" si="205"/>
        <v>100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341043</v>
      </c>
      <c r="M467" s="191">
        <f t="shared" ca="1" si="206"/>
        <v>341043</v>
      </c>
      <c r="N467" s="191">
        <f t="shared" si="206"/>
        <v>322759.31</v>
      </c>
      <c r="O467" s="191">
        <f t="shared" ref="O467:O472" ca="1" si="207">IF(L467&gt;0,N467*100/L467,0)</f>
        <v>94.638890110631209</v>
      </c>
      <c r="P467" s="191">
        <f t="shared" ref="P467:P472" ca="1" si="208">IF(M467&gt;0,N467*100/M467,0)</f>
        <v>94.638890110631209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341043</v>
      </c>
      <c r="M469" s="45">
        <f t="shared" ca="1" si="209"/>
        <v>341043</v>
      </c>
      <c r="N469" s="45">
        <f t="shared" si="209"/>
        <v>322759.31</v>
      </c>
      <c r="O469" s="45">
        <f t="shared" ca="1" si="207"/>
        <v>94.638890110631209</v>
      </c>
      <c r="P469" s="45">
        <f t="shared" ca="1" si="208"/>
        <v>94.638890110631209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341043</v>
      </c>
      <c r="M470" s="38">
        <f t="shared" ca="1" si="210"/>
        <v>341043</v>
      </c>
      <c r="N470" s="38">
        <f t="shared" si="210"/>
        <v>322759.31</v>
      </c>
      <c r="O470" s="38">
        <f t="shared" ca="1" si="207"/>
        <v>94.638890110631209</v>
      </c>
      <c r="P470" s="38">
        <f t="shared" ca="1" si="208"/>
        <v>94.638890110631209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IFERROR(__xludf.DUMMYFUNCTION("IMPORTRANGE(""https://docs.google.com/spreadsheets/d/1QqKyyYR6Q21VydFLVH3TRQUabQu_ym0Zz7PgGX0-kHA/edit?usp=sharing"",""แผน!FS77"")"),341043)</f>
        <v>341043</v>
      </c>
      <c r="M472" s="45">
        <f ca="1">L472</f>
        <v>341043</v>
      </c>
      <c r="N472" s="45">
        <f>N473+N474+N475+N476</f>
        <v>322759.31</v>
      </c>
      <c r="O472" s="45">
        <f t="shared" ca="1" si="207"/>
        <v>94.638890110631209</v>
      </c>
      <c r="P472" s="45">
        <f t="shared" ca="1" si="208"/>
        <v>94.638890110631209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61176.72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252000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9582.59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IFERROR(__xludf.DUMMYFUNCTION("IMPORTRANGE(""https://docs.google.com/spreadsheets/d/1QqKyyYR6Q21VydFLVH3TRQUabQu_ym0Zz7PgGX0-kHA/edit?usp=sharing"",""แผน!FV77"")"),0)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IFERROR(__xludf.DUMMYFUNCTION("IMPORTRANGE(""https://docs.google.com/spreadsheets/d/1QqKyyYR6Q21VydFLVH3TRQUabQu_ym0Zz7PgGX0-kHA/edit?usp=sharing"",""แผน!FY77"")"),360)</f>
        <v>360</v>
      </c>
      <c r="J483" s="181">
        <v>360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36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IFERROR(__xludf.DUMMYFUNCTION("IMPORTRANGE(""https://docs.google.com/spreadsheets/d/1QqKyyYR6Q21VydFLVH3TRQUabQu_ym0Zz7PgGX0-kHA/edit?usp=sharing"",""แผน!FZ77"")"),36)</f>
        <v>36</v>
      </c>
      <c r="J485" s="181">
        <v>36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IFERROR(__xludf.DUMMYFUNCTION("IMPORTRANGE(""https://docs.google.com/spreadsheets/d/1QqKyyYR6Q21VydFLVH3TRQUabQu_ym0Zz7PgGX0-kHA/edit?usp=sharing"",""แผน!GA77"")"),40)</f>
        <v>40</v>
      </c>
      <c r="J487" s="181">
        <v>40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4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IFERROR(__xludf.DUMMYFUNCTION("IMPORTRANGE(""https://docs.google.com/spreadsheets/d/1QqKyyYR6Q21VydFLVH3TRQUabQu_ym0Zz7PgGX0-kHA/edit?usp=sharing"",""แผน!GB77"")"),4)</f>
        <v>4</v>
      </c>
      <c r="J489" s="181">
        <v>4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IFERROR(__xludf.DUMMYFUNCTION("IMPORTRANGE(""https://docs.google.com/spreadsheets/d/1QqKyyYR6Q21VydFLVH3TRQUabQu_ym0Zz7PgGX0-kHA/edit?usp=sharing"",""แผน!GC77"")"),1)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IFERROR(__xludf.DUMMYFUNCTION("IMPORTRANGE(""https://docs.google.com/spreadsheets/d/1QqKyyYR6Q21VydFLVH3TRQUabQu_ym0Zz7PgGX0-kHA/edit?usp=sharing"",""แผน!FY77"")"),360)</f>
        <v>360</v>
      </c>
      <c r="J495" s="181">
        <v>360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360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IFERROR(__xludf.DUMMYFUNCTION("IMPORTRANGE(""https://docs.google.com/spreadsheets/d/1QqKyyYR6Q21VydFLVH3TRQUabQu_ym0Zz7PgGX0-kHA/edit?usp=sharing"",""แผน!GA77"")"),40)</f>
        <v>40</v>
      </c>
      <c r="J498" s="181">
        <v>40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40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 hidden="1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 hidden="1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0</v>
      </c>
      <c r="J522" s="630">
        <f t="shared" ca="1" si="225"/>
        <v>0</v>
      </c>
      <c r="K522" s="631">
        <f ca="1">IF(I522&gt;0,J522*100/I522,0)</f>
        <v>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 hidden="1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 hidden="1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IFERROR(__xludf.DUMMYFUNCTION("IMPORTRANGE(""https://docs.google.com/spreadsheets/d/1QqKyyYR6Q21VydFLVH3TRQUabQu_ym0Zz7PgGX0-kHA/edit?usp=sharing"",""แผน!GQ77"")"),0)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 hidden="1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 hidden="1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 hidden="1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 hidden="1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 hidden="1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IFERROR(__xludf.DUMMYFUNCTION("IMPORTRANGE(""https://docs.google.com/spreadsheets/d/1QqKyyYR6Q21VydFLVH3TRQUabQu_ym0Zz7PgGX0-kHA/edit?usp=sharing"",""แผน!GT77"")"),0)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 hidden="1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 hidden="1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IFERROR(__xludf.DUMMYFUNCTION("IMPORTRANGE(""https://docs.google.com/spreadsheets/d/1QqKyyYR6Q21VydFLVH3TRQUabQu_ym0Zz7PgGX0-kHA/edit?usp=sharing"",""แผน!GU77"")"),0)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 hidden="1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IFERROR(__xludf.DUMMYFUNCTION("IMPORTRANGE(""https://docs.google.com/spreadsheets/d/1QqKyyYR6Q21VydFLVH3TRQUabQu_ym0Zz7PgGX0-kHA/edit?usp=sharing"",""แผน!GV77"")"),0)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 hidden="1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IFERROR(__xludf.DUMMYFUNCTION("IMPORTRANGE(""https://docs.google.com/spreadsheets/d/1QqKyyYR6Q21VydFLVH3TRQUabQu_ym0Zz7PgGX0-kHA/edit?usp=sharing"",""แผน!GW77"")"),0)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 hidden="1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IFERROR(__xludf.DUMMYFUNCTION("IMPORTRANGE(""https://docs.google.com/spreadsheets/d/1QqKyyYR6Q21VydFLVH3TRQUabQu_ym0Zz7PgGX0-kHA/edit?usp=sharing"",""แผน!GX77"")"),0)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 hidden="1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IFERROR(__xludf.DUMMYFUNCTION("IMPORTRANGE(""https://docs.google.com/spreadsheets/d/1QqKyyYR6Q21VydFLVH3TRQUabQu_ym0Zz7PgGX0-kHA/edit?usp=sharing"",""แผน!GY77"")"),0)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 hidden="1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IFERROR(__xludf.DUMMYFUNCTION("IMPORTRANGE(""https://docs.google.com/spreadsheets/d/1QqKyyYR6Q21VydFLVH3TRQUabQu_ym0Zz7PgGX0-kHA/edit?usp=sharing"",""แผน!GZ77"")"),0)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28605</v>
      </c>
      <c r="J543" s="638">
        <f t="shared" si="235"/>
        <v>26635.98</v>
      </c>
      <c r="K543" s="639">
        <f t="shared" ca="1" si="234"/>
        <v>93.116518091242796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348529</v>
      </c>
      <c r="M544" s="154">
        <f t="shared" ca="1" si="236"/>
        <v>348529</v>
      </c>
      <c r="N544" s="154">
        <f t="shared" si="236"/>
        <v>272216.73</v>
      </c>
      <c r="O544" s="154">
        <f t="shared" ref="O544:O549" ca="1" si="237">IF(L544&gt;0,N544*100/L544,0)</f>
        <v>78.104470503171896</v>
      </c>
      <c r="P544" s="154">
        <f t="shared" ref="P544:P549" ca="1" si="238">IF(M544&gt;0,N544*100/M544,0)</f>
        <v>78.104470503171896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348529</v>
      </c>
      <c r="M546" s="45">
        <f t="shared" ca="1" si="240"/>
        <v>348529</v>
      </c>
      <c r="N546" s="45">
        <f t="shared" si="240"/>
        <v>272216.73</v>
      </c>
      <c r="O546" s="45">
        <f t="shared" ca="1" si="237"/>
        <v>78.104470503171896</v>
      </c>
      <c r="P546" s="45">
        <f t="shared" ca="1" si="238"/>
        <v>78.104470503171896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348529</v>
      </c>
      <c r="M547" s="38">
        <f t="shared" ca="1" si="241"/>
        <v>348529</v>
      </c>
      <c r="N547" s="38">
        <f t="shared" si="241"/>
        <v>272216.73</v>
      </c>
      <c r="O547" s="38">
        <f t="shared" ca="1" si="237"/>
        <v>78.104470503171896</v>
      </c>
      <c r="P547" s="38">
        <f t="shared" ca="1" si="238"/>
        <v>78.104470503171896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IFERROR(__xludf.DUMMYFUNCTION("IMPORTRANGE(""https://docs.google.com/spreadsheets/d/1QqKyyYR6Q21VydFLVH3TRQUabQu_ym0Zz7PgGX0-kHA/edit?usp=sharing"",""แผน!HB77"")"),348529)</f>
        <v>348529</v>
      </c>
      <c r="M549" s="45">
        <f ca="1">L549</f>
        <v>348529</v>
      </c>
      <c r="N549" s="45">
        <f>N550+N551+N552+N553+N554</f>
        <v>272216.73</v>
      </c>
      <c r="O549" s="45">
        <f t="shared" ca="1" si="237"/>
        <v>78.104470503171896</v>
      </c>
      <c r="P549" s="45">
        <f t="shared" ca="1" si="238"/>
        <v>78.104470503171896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115050.01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157166.72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IFERROR(__xludf.DUMMYFUNCTION("IMPORTRANGE(""https://docs.google.com/spreadsheets/d/1QqKyyYR6Q21VydFLVH3TRQUabQu_ym0Zz7PgGX0-kHA/edit?usp=sharing"",""แผน!HF77"")"),0)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28605</v>
      </c>
      <c r="J559" s="630">
        <f t="shared" si="245"/>
        <v>26635.98</v>
      </c>
      <c r="K559" s="631">
        <f t="shared" ref="K559:K561" ca="1" si="246">IF(I559&gt;0,J559*100/I559,0)</f>
        <v>93.116518091242796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IFERROR(__xludf.DUMMYFUNCTION("IMPORTRANGE(""https://docs.google.com/spreadsheets/d/1QqKyyYR6Q21VydFLVH3TRQUabQu_ym0Zz7PgGX0-kHA/edit?usp=sharing"",""แผน!HH77"")"),28605)</f>
        <v>28605</v>
      </c>
      <c r="J560" s="189">
        <f t="shared" ref="J560:J561" si="247">J562+J564+J566</f>
        <v>28605.34</v>
      </c>
      <c r="K560" s="391">
        <f t="shared" ca="1" si="246"/>
        <v>100.00118860339101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IFERROR(__xludf.DUMMYFUNCTION("IMPORTRANGE(""https://docs.google.com/spreadsheets/d/1QqKyyYR6Q21VydFLVH3TRQUabQu_ym0Zz7PgGX0-kHA/edit?usp=sharing"",""แผน!HG77"")"),3927)</f>
        <v>3927</v>
      </c>
      <c r="J561" s="189">
        <f t="shared" si="247"/>
        <v>3927</v>
      </c>
      <c r="K561" s="391">
        <f t="shared" ca="1" si="246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24700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3423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2580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343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1325.34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161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IFERROR(__xludf.DUMMYFUNCTION("IMPORTRANGE(""https://docs.google.com/spreadsheets/d/1QqKyyYR6Q21VydFLVH3TRQUabQu_ym0Zz7PgGX0-kHA/edit?usp=sharing"",""แผน!HH77"")"),28605)</f>
        <v>28605</v>
      </c>
      <c r="J568" s="190">
        <f t="shared" ref="J568:J569" si="248">J570+J572+J574</f>
        <v>28605</v>
      </c>
      <c r="K568" s="391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IFERROR(__xludf.DUMMYFUNCTION("IMPORTRANGE(""https://docs.google.com/spreadsheets/d/1QqKyyYR6Q21VydFLVH3TRQUabQu_ym0Zz7PgGX0-kHA/edit?usp=sharing"",""แผน!HG77"")"),3927)</f>
        <v>3927</v>
      </c>
      <c r="J569" s="190">
        <f t="shared" si="248"/>
        <v>3927</v>
      </c>
      <c r="K569" s="391">
        <f t="shared" ca="1" si="249"/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24700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3423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2580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343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1325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161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IFERROR(__xludf.DUMMYFUNCTION("IMPORTRANGE(""https://docs.google.com/spreadsheets/d/1QqKyyYR6Q21VydFLVH3TRQUabQu_ym0Zz7PgGX0-kHA/edit?usp=sharing"",""แผน!HH77"")"),28605)</f>
        <v>28605</v>
      </c>
      <c r="J576" s="190">
        <f t="shared" ref="J576:J577" si="250">J578+J580+J582+J588+J590</f>
        <v>26635.98</v>
      </c>
      <c r="K576" s="391">
        <f t="shared" ref="K576:K577" ca="1" si="251">IF(I576&gt;0,J576*100/I576,0)</f>
        <v>93.116518091242796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IFERROR(__xludf.DUMMYFUNCTION("IMPORTRANGE(""https://docs.google.com/spreadsheets/d/1QqKyyYR6Q21VydFLVH3TRQUabQu_ym0Zz7PgGX0-kHA/edit?usp=sharing"",""แผน!HG77"")"),3927)</f>
        <v>3927</v>
      </c>
      <c r="J577" s="190">
        <f t="shared" si="250"/>
        <v>3665</v>
      </c>
      <c r="K577" s="391">
        <f t="shared" ca="1" si="251"/>
        <v>93.328240387063914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25296.2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3500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1339.78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165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1339.78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165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1717.29</v>
      </c>
      <c r="J592" s="630">
        <f t="shared" si="253"/>
        <v>699.54</v>
      </c>
      <c r="K592" s="631">
        <f t="shared" ref="K592:K594" ca="1" si="254">IF(I592&gt;0,J592*100/I592,0)</f>
        <v>40.735111716716453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IFERROR(__xludf.DUMMYFUNCTION("IMPORTRANGE(""https://docs.google.com/spreadsheets/d/1QqKyyYR6Q21VydFLVH3TRQUabQu_ym0Zz7PgGX0-kHA/edit?usp=sharing"",""แผน!HJ77"")"),1717.29)</f>
        <v>1717.29</v>
      </c>
      <c r="J593" s="189">
        <f t="shared" ref="J593:J594" si="255">J595+J603+J609</f>
        <v>699.54</v>
      </c>
      <c r="K593" s="391">
        <f t="shared" ca="1" si="254"/>
        <v>40.735111716716453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IFERROR(__xludf.DUMMYFUNCTION("IMPORTRANGE(""https://docs.google.com/spreadsheets/d/1QqKyyYR6Q21VydFLVH3TRQUabQu_ym0Zz7PgGX0-kHA/edit?usp=sharing"",""แผน!HI77"")"),137)</f>
        <v>137</v>
      </c>
      <c r="J594" s="189">
        <f t="shared" si="255"/>
        <v>61</v>
      </c>
      <c r="K594" s="391">
        <f t="shared" ca="1" si="254"/>
        <v>44.525547445255476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699.54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61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699.54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61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IFERROR(__xludf.DUMMYFUNCTION("IMPORTRANGE(""https://docs.google.com/spreadsheets/d/1QqKyyYR6Q21VydFLVH3TRQUabQu_ym0Zz7PgGX0-kHA/edit?usp=sharing"",""แผน!HL77"")"),53)</f>
        <v>53</v>
      </c>
      <c r="J620" s="675">
        <f t="shared" ref="J620:J621" si="260">J622+J624+J626</f>
        <v>53</v>
      </c>
      <c r="K620" s="676">
        <f t="shared" ref="K620:K621" ca="1" si="261">IF(I620&gt;0,J620*100/I620,0)</f>
        <v>100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IFERROR(__xludf.DUMMYFUNCTION("IMPORTRANGE(""https://docs.google.com/spreadsheets/d/1QqKyyYR6Q21VydFLVH3TRQUabQu_ym0Zz7PgGX0-kHA/edit?usp=sharing"",""แผน!HK77"")"),6)</f>
        <v>6</v>
      </c>
      <c r="J621" s="675">
        <f t="shared" si="260"/>
        <v>6</v>
      </c>
      <c r="K621" s="676">
        <f t="shared" ca="1" si="261"/>
        <v>100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53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6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 hidden="1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0</v>
      </c>
      <c r="J628" s="686">
        <f t="shared" ca="1" si="262"/>
        <v>0</v>
      </c>
      <c r="K628" s="687">
        <f ca="1">IF(I628&gt;0,J628*100/I628,0)</f>
        <v>0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 hidden="1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 hidden="1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IFERROR(__xludf.DUMMYFUNCTION("IMPORTRANGE(""https://docs.google.com/spreadsheets/d/1QqKyyYR6Q21VydFLVH3TRQUabQu_ym0Zz7PgGX0-kHA/edit?usp=sharing"",""แผน!HN77"")"),0)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 hidden="1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 hidden="1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 hidden="1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 hidden="1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 hidden="1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IFERROR(__xludf.DUMMYFUNCTION("IMPORTRANGE(""https://docs.google.com/spreadsheets/d/1QqKyyYR6Q21VydFLVH3TRQUabQu_ym0Zz7PgGX0-kHA/edit?usp=sharing"",""แผน!HQ77"")"),0)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 hidden="1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 hidden="1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IFERROR(__xludf.DUMMYFUNCTION("IMPORTRANGE(""https://docs.google.com/spreadsheets/d/1QqKyyYR6Q21VydFLVH3TRQUabQu_ym0Zz7PgGX0-kHA/edit?usp=sharing"",""แผน!HR77"")"),0)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 hidden="1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IFERROR(__xludf.DUMMYFUNCTION("IMPORTRANGE(""https://docs.google.com/spreadsheets/d/1QqKyyYR6Q21VydFLVH3TRQUabQu_ym0Zz7PgGX0-kHA/edit?usp=sharing"",""แผน!HR77"")"),0)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 hidden="1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IFERROR(__xludf.DUMMYFUNCTION("IMPORTRANGE(""https://docs.google.com/spreadsheets/d/1XWAQStnk-4SwqDmLtmXYiTMKHgktTP8We1SCoS47DrQ/edit?usp=sharing"",""จัดที่ดิน!AS77"")"),0)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 hidden="1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IFERROR(__xludf.DUMMYFUNCTION("IMPORTRANGE(""https://docs.google.com/spreadsheets/d/1XWAQStnk-4SwqDmLtmXYiTMKHgktTP8We1SCoS47DrQ/edit?usp=sharing"",""จัดที่ดิน!AT77"")"),0)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 hidden="1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IFERROR(__xludf.DUMMYFUNCTION("IMPORTRANGE(""https://docs.google.com/spreadsheets/d/1QqKyyYR6Q21VydFLVH3TRQUabQu_ym0Zz7PgGX0-kHA/edit?usp=sharing"",""แผน!HS77"")"),0)</f>
        <v>0</v>
      </c>
      <c r="J647" s="37">
        <f ca="1">IFERROR(__xludf.DUMMYFUNCTION("IMPORTRANGE(""https://docs.google.com/spreadsheets/d/1XWAQStnk-4SwqDmLtmXYiTMKHgktTP8We1SCoS47DrQ/edit?usp=sharing"",""จัดที่ดิน!AU77"")"),1)</f>
        <v>1</v>
      </c>
      <c r="K647" s="162">
        <f t="shared" ca="1" si="271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 hidden="1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IFERROR(__xludf.DUMMYFUNCTION("IMPORTRANGE(""https://docs.google.com/spreadsheets/d/1XWAQStnk-4SwqDmLtmXYiTMKHgktTP8We1SCoS47DrQ/edit?usp=sharing"",""จัดที่ดิน!AV77"")"),0.15)</f>
        <v>0.15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 hidden="1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IFERROR(__xludf.DUMMYFUNCTION("IMPORTRANGE(""https://docs.google.com/spreadsheets/d/1QqKyyYR6Q21VydFLVH3TRQUabQu_ym0Zz7PgGX0-kHA/edit?usp=sharing"",""แผน!HS77"")"),0)</f>
        <v>0</v>
      </c>
      <c r="J649" s="37">
        <f ca="1">IFERROR(__xludf.DUMMYFUNCTION("IMPORTRANGE(""https://docs.google.com/spreadsheets/d/1XWAQStnk-4SwqDmLtmXYiTMKHgktTP8We1SCoS47DrQ/edit?usp=sharing"",""จัดที่ดิน!AW77"")"),0)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 hidden="1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IFERROR(__xludf.DUMMYFUNCTION("IMPORTRANGE(""https://docs.google.com/spreadsheets/d/1XWAQStnk-4SwqDmLtmXYiTMKHgktTP8We1SCoS47DrQ/edit?usp=sharing"",""จัดที่ดิน!AX77"")"),0)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 hidden="1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IFERROR(__xludf.DUMMYFUNCTION("IMPORTRANGE(""https://docs.google.com/spreadsheets/d/1QqKyyYR6Q21VydFLVH3TRQUabQu_ym0Zz7PgGX0-kHA/edit?usp=sharing"",""แผน!HS77"")"),0)</f>
        <v>0</v>
      </c>
      <c r="J651" s="37">
        <f ca="1">IFERROR(__xludf.DUMMYFUNCTION("IMPORTRANGE(""https://docs.google.com/spreadsheets/d/1XWAQStnk-4SwqDmLtmXYiTMKHgktTP8We1SCoS47DrQ/edit?usp=sharing"",""จัดที่ดิน!AY77"")"),0)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 hidden="1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IFERROR(__xludf.DUMMYFUNCTION("IMPORTRANGE(""https://docs.google.com/spreadsheets/d/1XWAQStnk-4SwqDmLtmXYiTMKHgktTP8We1SCoS47DrQ/edit?usp=sharing"",""จัดที่ดิน!AZ77"")"),0)</f>
        <v>0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 hidden="1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 hidden="1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 hidden="1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 hidden="1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IFERROR(__xludf.DUMMYFUNCTION("IMPORTRANGE(""https://docs.google.com/spreadsheets/d/1QqKyyYR6Q21VydFLVH3TRQUabQu_ym0Zz7PgGX0-kHA/edit?usp=sharing"",""แผน!HV77"")"),0)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 hidden="1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 hidden="1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 hidden="1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 hidden="1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 hidden="1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 hidden="1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 hidden="1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IFERROR(__xludf.DUMMYFUNCTION("IMPORTRANGE(""https://docs.google.com/spreadsheets/d/1QqKyyYR6Q21VydFLVH3TRQUabQu_ym0Zz7PgGX0-kHA/edit?usp=sharing"",""แผน!IA77"")"),0)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 hidden="1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IFERROR(__xludf.DUMMYFUNCTION("IMPORTRANGE(""https://docs.google.com/spreadsheets/d/1QqKyyYR6Q21VydFLVH3TRQUabQu_ym0Zz7PgGX0-kHA/edit?usp=sharing"",""แผน!HZ77"")"),0)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 hidden="1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IFERROR(__xludf.DUMMYFUNCTION("IMPORTRANGE(""https://docs.google.com/spreadsheets/d/1QqKyyYR6Q21VydFLVH3TRQUabQu_ym0Zz7PgGX0-kHA/edit?usp=sharing"",""แผน!HZ77"")"),0)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 hidden="1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 hidden="1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 hidden="1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 hidden="1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 hidden="1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 hidden="1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 hidden="1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IFERROR(__xludf.DUMMYFUNCTION("IMPORTRANGE(""https://docs.google.com/spreadsheets/d/1QqKyyYR6Q21VydFLVH3TRQUabQu_ym0Zz7PgGX0-kHA/edit?usp=sharing"",""แผน!IB77"")"),0)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 hidden="1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 hidden="1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 hidden="1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 hidden="1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 hidden="1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 hidden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 hidden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 hidden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IFERROR(__xludf.DUMMYFUNCTION("IMPORTRANGE(""https://docs.google.com/spreadsheets/d/1QqKyyYR6Q21VydFLVH3TRQUabQu_ym0Zz7PgGX0-kHA/edit?usp=sharing"",""แผน!HW77"")"),0)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 hidden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 hidden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 hidden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 hidden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 hidden="1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 hidden="1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 hidden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IFERROR(__xludf.DUMMYFUNCTION("IMPORTRANGE(""https://docs.google.com/spreadsheets/d/1QqKyyYR6Q21VydFLVH3TRQUabQu_ym0Zz7PgGX0-kHA/edit?usp=sharing"",""แผน!IC77"")"),0)</f>
        <v>0</v>
      </c>
      <c r="J699" s="37">
        <f ca="1">IFERROR(__xludf.DUMMYFUNCTION("IMPORTRANGE(""https://docs.google.com/spreadsheets/d/1XWAQStnk-4SwqDmLtmXYiTMKHgktTP8We1SCoS47DrQ/edit?usp=sharing"",""จัดที่ดิน!BB77"")"),0)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 hidden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IFERROR(__xludf.DUMMYFUNCTION("IMPORTRANGE(""https://docs.google.com/spreadsheets/d/1QqKyyYR6Q21VydFLVH3TRQUabQu_ym0Zz7PgGX0-kHA/edit?usp=sharing"",""แผน!ID77"")"),0)</f>
        <v>0</v>
      </c>
      <c r="J700" s="37">
        <f ca="1">IFERROR(__xludf.DUMMYFUNCTION("IMPORTRANGE(""https://docs.google.com/spreadsheets/d/1XWAQStnk-4SwqDmLtmXYiTMKHgktTP8We1SCoS47DrQ/edit?usp=sharing"",""จัดที่ดิน!BD77"")"),0)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 hidden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IFERROR(__xludf.DUMMYFUNCTION("IMPORTRANGE(""https://docs.google.com/spreadsheets/d/1QqKyyYR6Q21VydFLVH3TRQUabQu_ym0Zz7PgGX0-kHA/edit?usp=sharing"",""แผน!IE77"")"),0)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 hidden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 hidden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 hidden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IFERROR(__xludf.DUMMYFUNCTION("IMPORTRANGE(""https://docs.google.com/spreadsheets/d/1QqKyyYR6Q21VydFLVH3TRQUabQu_ym0Zz7PgGX0-kHA/edit?usp=sharing"",""แผน!IF77"")"),0)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 hidden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 hidden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 hidden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IFERROR(__xludf.DUMMYFUNCTION("IMPORTRANGE(""https://docs.google.com/spreadsheets/d/1QqKyyYR6Q21VydFLVH3TRQUabQu_ym0Zz7PgGX0-kHA/edit?usp=sharing"",""แผน!IG77"")"),0)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 hidden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IFERROR(__xludf.DUMMYFUNCTION("IMPORTRANGE(""https://docs.google.com/spreadsheets/d/1QqKyyYR6Q21VydFLVH3TRQUabQu_ym0Zz7PgGX0-kHA/edit?usp=sharing"",""แผน!IH77"")"),0)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 hidden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 hidden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 hidden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 hidden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 hidden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 hidden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 hidden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 hidden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 hidden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 hidden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IFERROR(__xludf.DUMMYFUNCTION("IMPORTRANGE(""https://docs.google.com/spreadsheets/d/1XWAQStnk-4SwqDmLtmXYiTMKHgktTP8We1SCoS47DrQ/edit?usp=sharing"",""จัดที่ดิน!BF77"")"),0)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 hidden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IFERROR(__xludf.DUMMYFUNCTION("IMPORTRANGE(""https://docs.google.com/spreadsheets/d/1XWAQStnk-4SwqDmLtmXYiTMKHgktTP8We1SCoS47DrQ/edit?usp=sharing"",""จัดที่ดิน!BG77"")"),0)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 hidden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IFERROR(__xludf.DUMMYFUNCTION("IMPORTRANGE(""https://docs.google.com/spreadsheets/d/1QqKyyYR6Q21VydFLVH3TRQUabQu_ym0Zz7PgGX0-kHA/edit?usp=sharing"",""แผน!II77"")"),0)</f>
        <v>0</v>
      </c>
      <c r="J720" s="37">
        <f ca="1">IFERROR(__xludf.DUMMYFUNCTION("IMPORTRANGE(""https://docs.google.com/spreadsheets/d/1XWAQStnk-4SwqDmLtmXYiTMKHgktTP8We1SCoS47DrQ/edit?usp=sharing"",""จัดที่ดิน!BH77"")"),0)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 hidden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IFERROR(__xludf.DUMMYFUNCTION("IMPORTRANGE(""https://docs.google.com/spreadsheets/d/1QqKyyYR6Q21VydFLVH3TRQUabQu_ym0Zz7PgGX0-kHA/edit?usp=sharing"",""แผน!IJ77"")"),0)</f>
        <v>0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 hidden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IFERROR(__xludf.DUMMYFUNCTION("IMPORTRANGE(""https://docs.google.com/spreadsheets/d/1QqKyyYR6Q21VydFLVH3TRQUabQu_ym0Zz7PgGX0-kHA/edit?usp=sharing"",""แผน!IK77"")"),0)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 hidden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IFERROR(__xludf.DUMMYFUNCTION("IMPORTRANGE(""https://docs.google.com/spreadsheets/d/1QqKyyYR6Q21VydFLVH3TRQUabQu_ym0Zz7PgGX0-kHA/edit?usp=sharing"",""แผน!IL77"")"),0)</f>
        <v>0</v>
      </c>
      <c r="J723" s="37">
        <f ca="1">IFERROR(__xludf.DUMMYFUNCTION("IMPORTRANGE(""https://docs.google.com/spreadsheets/d/1XWAQStnk-4SwqDmLtmXYiTMKHgktTP8We1SCoS47DrQ/edit?usp=sharing"",""จัดที่ดิน!BM77"")"),0)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 hidden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IFERROR(__xludf.DUMMYFUNCTION("IMPORTRANGE(""https://docs.google.com/spreadsheets/d/1XWAQStnk-4SwqDmLtmXYiTMKHgktTP8We1SCoS47DrQ/edit?usp=sharing"",""จัดที่ดิน!BN77"")"),0)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 hidden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IFERROR(__xludf.DUMMYFUNCTION("IMPORTRANGE(""https://docs.google.com/spreadsheets/d/1QqKyyYR6Q21VydFLVH3TRQUabQu_ym0Zz7PgGX0-kHA/edit?usp=sharing"",""แผน!IM77"")"),0)</f>
        <v>0</v>
      </c>
      <c r="J725" s="37">
        <f ca="1">IFERROR(__xludf.DUMMYFUNCTION("IMPORTRANGE(""https://docs.google.com/spreadsheets/d/1XWAQStnk-4SwqDmLtmXYiTMKHgktTP8We1SCoS47DrQ/edit?usp=sharing"",""จัดที่ดิน!BO77"")"),0)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 hidden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IFERROR(__xludf.DUMMYFUNCTION("IMPORTRANGE(""https://docs.google.com/spreadsheets/d/1QqKyyYR6Q21VydFLVH3TRQUabQu_ym0Zz7PgGX0-kHA/edit?usp=sharing"",""แผน!IN77"")"),0)</f>
        <v>0</v>
      </c>
      <c r="J726" s="37">
        <f ca="1">IFERROR(__xludf.DUMMYFUNCTION("IMPORTRANGE(""https://docs.google.com/spreadsheets/d/1XWAQStnk-4SwqDmLtmXYiTMKHgktTP8We1SCoS47DrQ/edit?usp=sharing"",""จัดที่ดิน!BR77"")"),0)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 hidden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IFERROR(__xludf.DUMMYFUNCTION("IMPORTRANGE(""https://docs.google.com/spreadsheets/d/1XWAQStnk-4SwqDmLtmXYiTMKHgktTP8We1SCoS47DrQ/edit?usp=sharing"",""จัดที่ดิน!BS77"")"),0)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 hidden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IFERROR(__xludf.DUMMYFUNCTION("IMPORTRANGE(""https://docs.google.com/spreadsheets/d/1QqKyyYR6Q21VydFLVH3TRQUabQu_ym0Zz7PgGX0-kHA/edit?usp=sharing"",""แผน!IO77"")"),0)</f>
        <v>0</v>
      </c>
      <c r="J728" s="37">
        <f ca="1">IFERROR(__xludf.DUMMYFUNCTION("IMPORTRANGE(""https://docs.google.com/spreadsheets/d/1XWAQStnk-4SwqDmLtmXYiTMKHgktTP8We1SCoS47DrQ/edit?usp=sharing"",""จัดที่ดิน!BT77"")"),0)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 hidden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IFERROR(__xludf.DUMMYFUNCTION("IMPORTRANGE(""https://docs.google.com/spreadsheets/d/1QqKyyYR6Q21VydFLVH3TRQUabQu_ym0Zz7PgGX0-kHA/edit?usp=sharing"",""แผน!IP77"")"),0)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 hidden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 hidden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 hidden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 hidden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 hidden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 hidden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IFERROR(__xludf.DUMMYFUNCTION("IMPORTRANGE(""https://docs.google.com/spreadsheets/d/1QqKyyYR6Q21VydFLVH3TRQUabQu_ym0Zz7PgGX0-kHA/edit?usp=sharing"",""แผน!JJ77"")"),0)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IFERROR(__xludf.DUMMYFUNCTION("IMPORTRANGE(""https://docs.google.com/spreadsheets/d/1QqKyyYR6Q21VydFLVH3TRQUabQu_ym0Zz7PgGX0-kHA/edit?usp=sharing"",""แผน!JN77"")"),0)</f>
        <v>0</v>
      </c>
      <c r="J800" s="161">
        <f ca="1">IFERROR(__xludf.DUMMYFUNCTION("IMPORTRANGE(""https://docs.google.com/spreadsheets/d/1MaWodYyGHDf7siQLGxnXhG4mBNTNIuy296niS2xXulU/edit?usp=sharing"",""RTK!H77"")"),0)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IFERROR(__xludf.DUMMYFUNCTION("IMPORTRANGE(""https://docs.google.com/spreadsheets/d/1MaWodYyGHDf7siQLGxnXhG4mBNTNIuy296niS2xXulU/edit?usp=sharing"",""RTK!I77"")"),0)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335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37">
        <f ca="1">IFERROR(__xludf.DUMMYFUNCTION("IMPORTRANGE(""https://docs.google.com/spreadsheets/d/19vJNZY_5yjcGF2XGBMNZRCAIB0Kwfpjp8YEOfu-bneM/edit?usp=sharing"",""งานกองทุน!F77"")"),845647.34)</f>
        <v>845647.34</v>
      </c>
      <c r="K821" s="38">
        <f t="shared" ref="K821:K828" ca="1" si="335">IF(I821&gt;0,J821*100/I821,0)</f>
        <v>73.963015839321713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IFERROR(__xludf.DUMMYFUNCTION("IMPORTRANGE(""https://docs.google.com/spreadsheets/d/19vJNZY_5yjcGF2XGBMNZRCAIB0Kwfpjp8YEOfu-bneM/edit?usp=sharing"",""งานกองทุน!C77"")"),75)</f>
        <v>75</v>
      </c>
      <c r="J822" s="37">
        <f ca="1">IFERROR(__xludf.DUMMYFUNCTION("IMPORTRANGE(""https://docs.google.com/spreadsheets/d/19vJNZY_5yjcGF2XGBMNZRCAIB0Kwfpjp8YEOfu-bneM/edit?usp=sharing"",""งานกองทุน!E77"")"),60)</f>
        <v>60</v>
      </c>
      <c r="K822" s="38">
        <f t="shared" ca="1" si="335"/>
        <v>80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37">
        <f ca="1">IFERROR(__xludf.DUMMYFUNCTION("IMPORTRANGE(""https://docs.google.com/spreadsheets/d/19vJNZY_5yjcGF2XGBMNZRCAIB0Kwfpjp8YEOfu-bneM/edit?usp=sharing"",""งานกองทุน!K77"")"),425131.08)</f>
        <v>425131.08</v>
      </c>
      <c r="K823" s="38">
        <f t="shared" ca="1" si="335"/>
        <v>20.072557912744834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IFERROR(__xludf.DUMMYFUNCTION("IMPORTRANGE(""https://docs.google.com/spreadsheets/d/19vJNZY_5yjcGF2XGBMNZRCAIB0Kwfpjp8YEOfu-bneM/edit?usp=sharing"",""งานกองทุน!H77"")"),82)</f>
        <v>82</v>
      </c>
      <c r="J824" s="37">
        <f ca="1">IFERROR(__xludf.DUMMYFUNCTION("IMPORTRANGE(""https://docs.google.com/spreadsheets/d/19vJNZY_5yjcGF2XGBMNZRCAIB0Kwfpjp8YEOfu-bneM/edit?usp=sharing"",""งานกองทุน!J77"")"),43)</f>
        <v>43</v>
      </c>
      <c r="K824" s="38">
        <f t="shared" ca="1" si="335"/>
        <v>52.439024390243901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IFERROR(__xludf.DUMMYFUNCTION("IMPORTRANGE(""https://docs.google.com/spreadsheets/d/19vJNZY_5yjcGF2XGBMNZRCAIB0Kwfpjp8YEOfu-bneM/edit?usp=sharing"",""งานกองทุน!N77"")"),0)</f>
        <v>0</v>
      </c>
      <c r="J825" s="37">
        <f ca="1">IFERROR(__xludf.DUMMYFUNCTION("IMPORTRANGE(""https://docs.google.com/spreadsheets/d/19vJNZY_5yjcGF2XGBMNZRCAIB0Kwfpjp8YEOfu-bneM/edit?usp=sharing"",""งานกองทุน!P77"")"),0)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IFERROR(__xludf.DUMMYFUNCTION("IMPORTRANGE(""https://docs.google.com/spreadsheets/d/19vJNZY_5yjcGF2XGBMNZRCAIB0Kwfpjp8YEOfu-bneM/edit?usp=sharing"",""งานกองทุน!M77"")"),0)</f>
        <v>0</v>
      </c>
      <c r="J826" s="37">
        <f ca="1">IFERROR(__xludf.DUMMYFUNCTION("IMPORTRANGE(""https://docs.google.com/spreadsheets/d/19vJNZY_5yjcGF2XGBMNZRCAIB0Kwfpjp8YEOfu-bneM/edit?usp=sharing"",""งานกองทุน!O77"")"),0)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IFERROR(__xludf.DUMMYFUNCTION("IMPORTRANGE(""https://docs.google.com/spreadsheets/d/19vJNZY_5yjcGF2XGBMNZRCAIB0Kwfpjp8YEOfu-bneM/edit?usp=sharing"",""งานกองทุน!S77"")"),980000)</f>
        <v>980000</v>
      </c>
      <c r="J827" s="37">
        <f ca="1">IFERROR(__xludf.DUMMYFUNCTION("IMPORTRANGE(""https://docs.google.com/spreadsheets/d/19vJNZY_5yjcGF2XGBMNZRCAIB0Kwfpjp8YEOfu-bneM/edit?usp=sharing"",""งานกองทุน!U77"")"),325000)</f>
        <v>325000</v>
      </c>
      <c r="K827" s="38">
        <f t="shared" ca="1" si="335"/>
        <v>33.163265306122447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IFERROR(__xludf.DUMMYFUNCTION("IMPORTRANGE(""https://docs.google.com/spreadsheets/d/19vJNZY_5yjcGF2XGBMNZRCAIB0Kwfpjp8YEOfu-bneM/edit?usp=sharing"",""งานกองทุน!R77"")"),39)</f>
        <v>39</v>
      </c>
      <c r="J828" s="365">
        <f ca="1">IFERROR(__xludf.DUMMYFUNCTION("IMPORTRANGE(""https://docs.google.com/spreadsheets/d/19vJNZY_5yjcGF2XGBMNZRCAIB0Kwfpjp8YEOfu-bneM/edit?usp=sharing"",""งานกองทุน!T77"")"),14)</f>
        <v>14</v>
      </c>
      <c r="K828" s="475">
        <f t="shared" ca="1" si="335"/>
        <v>35.897435897435898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472F0-C171-4479-9151-BFD586B4695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338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4701598</v>
      </c>
      <c r="M8" s="22">
        <f t="shared" ca="1" si="0"/>
        <v>5009419</v>
      </c>
      <c r="N8" s="22">
        <f t="shared" ca="1" si="0"/>
        <v>4056551.99</v>
      </c>
      <c r="O8" s="22">
        <f t="shared" ref="O8:O16" ca="1" si="1">IF(L8&gt;0,N8*100/L8,0)</f>
        <v>86.280281512796293</v>
      </c>
      <c r="P8" s="22">
        <f t="shared" ref="P8:P16" ca="1" si="2">IF(M8&gt;0,N8*100/M8,0)</f>
        <v>80.978492515798735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4701598</v>
      </c>
      <c r="M10" s="30">
        <f t="shared" ca="1" si="3"/>
        <v>5009419</v>
      </c>
      <c r="N10" s="30">
        <f t="shared" ca="1" si="3"/>
        <v>4056551.99</v>
      </c>
      <c r="O10" s="30">
        <f t="shared" ca="1" si="1"/>
        <v>86.280281512796293</v>
      </c>
      <c r="P10" s="30">
        <f t="shared" ca="1" si="2"/>
        <v>80.978492515798735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4027598</v>
      </c>
      <c r="M11" s="38">
        <f t="shared" ca="1" si="4"/>
        <v>4336419</v>
      </c>
      <c r="N11" s="38">
        <f t="shared" ca="1" si="4"/>
        <v>3383551.99</v>
      </c>
      <c r="O11" s="38">
        <f t="shared" ca="1" si="1"/>
        <v>84.00917842346729</v>
      </c>
      <c r="P11" s="38">
        <f t="shared" ca="1" si="2"/>
        <v>78.026408195333516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4027598</v>
      </c>
      <c r="M13" s="45">
        <f t="shared" ca="1" si="5"/>
        <v>4336419</v>
      </c>
      <c r="N13" s="45">
        <f t="shared" ca="1" si="5"/>
        <v>3383551.99</v>
      </c>
      <c r="O13" s="45">
        <f t="shared" ca="1" si="1"/>
        <v>84.00917842346729</v>
      </c>
      <c r="P13" s="45">
        <f t="shared" ca="1" si="2"/>
        <v>78.026408195333516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674000</v>
      </c>
      <c r="M14" s="38">
        <f t="shared" ca="1" si="6"/>
        <v>673000</v>
      </c>
      <c r="N14" s="38">
        <f t="shared" ca="1" si="6"/>
        <v>673000</v>
      </c>
      <c r="O14" s="38">
        <f t="shared" ca="1" si="1"/>
        <v>99.85163204747775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4216576</v>
      </c>
      <c r="N18" s="22">
        <f t="shared" ca="1" si="8"/>
        <v>3487831.4400000004</v>
      </c>
      <c r="O18" s="22">
        <f t="shared" ref="O18:O26" ca="1" si="9">IF(L18&gt;0,N18*100/L18,0)</f>
        <v>89.231262639894297</v>
      </c>
      <c r="P18" s="22">
        <f t="shared" ref="P18:P26" ca="1" si="10">IF(M18&gt;0,N18*100/M18,0)</f>
        <v>82.717148700746776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4216576</v>
      </c>
      <c r="N20" s="30">
        <f t="shared" ca="1" si="11"/>
        <v>3487831.4400000004</v>
      </c>
      <c r="O20" s="30">
        <f t="shared" ca="1" si="9"/>
        <v>89.231262639894297</v>
      </c>
      <c r="P20" s="30">
        <f t="shared" ca="1" si="10"/>
        <v>82.717148700746776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3234755</v>
      </c>
      <c r="M21" s="38">
        <f t="shared" ca="1" si="12"/>
        <v>3543576</v>
      </c>
      <c r="N21" s="38">
        <f t="shared" ca="1" si="12"/>
        <v>2814831.4400000004</v>
      </c>
      <c r="O21" s="38">
        <f t="shared" ca="1" si="9"/>
        <v>87.018381299356534</v>
      </c>
      <c r="P21" s="38">
        <f t="shared" ca="1" si="10"/>
        <v>79.434769848311447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3234755</v>
      </c>
      <c r="M23" s="45">
        <f t="shared" ca="1" si="13"/>
        <v>3543576</v>
      </c>
      <c r="N23" s="45">
        <f t="shared" ca="1" si="13"/>
        <v>2814831.4400000004</v>
      </c>
      <c r="O23" s="45">
        <f t="shared" ca="1" si="9"/>
        <v>87.018381299356534</v>
      </c>
      <c r="P23" s="45">
        <f t="shared" ca="1" si="10"/>
        <v>79.434769848311447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674000</v>
      </c>
      <c r="M24" s="38">
        <f t="shared" ca="1" si="14"/>
        <v>673000</v>
      </c>
      <c r="N24" s="38">
        <f t="shared" ca="1" si="14"/>
        <v>673000</v>
      </c>
      <c r="O24" s="38">
        <f t="shared" ca="1" si="9"/>
        <v>99.85163204747775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792843</v>
      </c>
      <c r="M28" s="22">
        <f t="shared" ca="1" si="16"/>
        <v>792843</v>
      </c>
      <c r="N28" s="22">
        <f t="shared" si="16"/>
        <v>568720.55000000005</v>
      </c>
      <c r="O28" s="22">
        <f t="shared" ref="O28:O37" ca="1" si="17">IF(L28&gt;0,N28*100/L28,0)</f>
        <v>71.731799360024624</v>
      </c>
      <c r="P28" s="22">
        <f t="shared" ref="P28:P37" ca="1" si="18">IF(M28&gt;0,N28*100/M28,0)</f>
        <v>71.731799360024624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792843</v>
      </c>
      <c r="M30" s="30">
        <f t="shared" ca="1" si="19"/>
        <v>792843</v>
      </c>
      <c r="N30" s="30">
        <f t="shared" si="19"/>
        <v>568720.55000000005</v>
      </c>
      <c r="O30" s="30">
        <f t="shared" ca="1" si="17"/>
        <v>71.731799360024624</v>
      </c>
      <c r="P30" s="30">
        <f t="shared" ca="1" si="18"/>
        <v>71.731799360024624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792843</v>
      </c>
      <c r="M31" s="38">
        <f t="shared" ca="1" si="20"/>
        <v>792843</v>
      </c>
      <c r="N31" s="38">
        <f t="shared" si="20"/>
        <v>568720.55000000005</v>
      </c>
      <c r="O31" s="38">
        <f t="shared" ca="1" si="17"/>
        <v>71.731799360024624</v>
      </c>
      <c r="P31" s="38">
        <f t="shared" ca="1" si="18"/>
        <v>71.731799360024624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792843</v>
      </c>
      <c r="M33" s="45">
        <f t="shared" ca="1" si="21"/>
        <v>792843</v>
      </c>
      <c r="N33" s="45">
        <f t="shared" si="21"/>
        <v>568720.55000000005</v>
      </c>
      <c r="O33" s="45">
        <f t="shared" ca="1" si="17"/>
        <v>71.731799360024624</v>
      </c>
      <c r="P33" s="45">
        <f t="shared" ca="1" si="18"/>
        <v>71.731799360024624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3908755</v>
      </c>
      <c r="M37" s="792">
        <f t="shared" ca="1" si="24"/>
        <v>4216576</v>
      </c>
      <c r="N37" s="792">
        <f t="shared" ca="1" si="24"/>
        <v>3487831.4400000004</v>
      </c>
      <c r="O37" s="792">
        <f t="shared" ca="1" si="17"/>
        <v>89.231262639894297</v>
      </c>
      <c r="P37" s="792">
        <f t="shared" ca="1" si="18"/>
        <v>82.717148700746776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635901</v>
      </c>
      <c r="N41" s="85">
        <f t="shared" ca="1" si="25"/>
        <v>538368</v>
      </c>
      <c r="O41" s="85">
        <f t="shared" ref="O41:O49" ca="1" si="26">IF(L41&gt;0,N41*100/L41,0)</f>
        <v>87.674945037049099</v>
      </c>
      <c r="P41" s="85">
        <f t="shared" ref="P41:P49" ca="1" si="27">IF(M41&gt;0,N41*100/M41,0)</f>
        <v>84.662235159246492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635901</v>
      </c>
      <c r="N43" s="92">
        <f t="shared" ca="1" si="28"/>
        <v>538368</v>
      </c>
      <c r="O43" s="92">
        <f t="shared" ca="1" si="26"/>
        <v>87.674945037049099</v>
      </c>
      <c r="P43" s="92">
        <f t="shared" ca="1" si="27"/>
        <v>84.662235159246492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614050</v>
      </c>
      <c r="M44" s="38">
        <f t="shared" ca="1" si="29"/>
        <v>635901</v>
      </c>
      <c r="N44" s="38">
        <f t="shared" ca="1" si="29"/>
        <v>538368</v>
      </c>
      <c r="O44" s="38">
        <f t="shared" ca="1" si="26"/>
        <v>87.674945037049099</v>
      </c>
      <c r="P44" s="38">
        <f t="shared" ca="1" si="27"/>
        <v>84.662235159246492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IFERROR(__xludf.DUMMYFUNCTION("IMPORTRANGE(""https://docs.google.com/spreadsheets/d/1MeEWN-I1oV_STSDYn1IFDPWt_1FKiwhDph83XaGc0o0/edit?usp=sharing"",""งบพรบ!M78"")"),614050)</f>
        <v>614050</v>
      </c>
      <c r="M46" s="45">
        <f ca="1">IFERROR(__xludf.DUMMYFUNCTION("IMPORTRANGE(""https://docs.google.com/spreadsheets/d/1MeEWN-I1oV_STSDYn1IFDPWt_1FKiwhDph83XaGc0o0/edit?usp=sharing"",""งบพรบ!R78"")"),635901)</f>
        <v>635901</v>
      </c>
      <c r="N46" s="45">
        <f ca="1">IFERROR(__xludf.DUMMYFUNCTION("IMPORTRANGE(""https://docs.google.com/spreadsheets/d/1MeEWN-I1oV_STSDYn1IFDPWt_1FKiwhDph83XaGc0o0/edit?usp=sharing"",""งบพรบ!T78"")"),538368)</f>
        <v>538368</v>
      </c>
      <c r="O46" s="45">
        <f t="shared" ca="1" si="26"/>
        <v>87.674945037049099</v>
      </c>
      <c r="P46" s="45">
        <f t="shared" ca="1" si="27"/>
        <v>84.662235159246492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1100300</v>
      </c>
      <c r="M53" s="115">
        <f t="shared" ca="1" si="31"/>
        <v>1120200</v>
      </c>
      <c r="N53" s="115">
        <f t="shared" ca="1" si="31"/>
        <v>1079368.6400000001</v>
      </c>
      <c r="O53" s="115">
        <f t="shared" ref="O53:O61" ca="1" si="32">IF(L53&gt;0,N53*100/L53,0)</f>
        <v>98.097667908752172</v>
      </c>
      <c r="P53" s="115">
        <f t="shared" ref="P53:P61" ca="1" si="33">IF(M53&gt;0,N53*100/M53,0)</f>
        <v>96.354993751115884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1100300</v>
      </c>
      <c r="M55" s="122">
        <f t="shared" ca="1" si="34"/>
        <v>1120200</v>
      </c>
      <c r="N55" s="122">
        <f t="shared" ca="1" si="34"/>
        <v>1079368.6400000001</v>
      </c>
      <c r="O55" s="122">
        <f t="shared" ca="1" si="32"/>
        <v>98.097667908752172</v>
      </c>
      <c r="P55" s="122">
        <f t="shared" ca="1" si="33"/>
        <v>96.354993751115884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750300</v>
      </c>
      <c r="M56" s="38">
        <f t="shared" ca="1" si="35"/>
        <v>770200</v>
      </c>
      <c r="N56" s="38">
        <f t="shared" ca="1" si="35"/>
        <v>729368.64</v>
      </c>
      <c r="O56" s="38">
        <f t="shared" ca="1" si="32"/>
        <v>97.210267892842865</v>
      </c>
      <c r="P56" s="38">
        <f t="shared" ca="1" si="33"/>
        <v>94.698602960270065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IFERROR(__xludf.DUMMYFUNCTION("IMPORTRANGE(""https://docs.google.com/spreadsheets/d/1MeEWN-I1oV_STSDYn1IFDPWt_1FKiwhDph83XaGc0o0/edit?usp=sharing"",""งบพรบ!W78"")"),750300)</f>
        <v>750300</v>
      </c>
      <c r="M58" s="45">
        <f ca="1">IFERROR(__xludf.DUMMYFUNCTION("IMPORTRANGE(""https://docs.google.com/spreadsheets/d/1MeEWN-I1oV_STSDYn1IFDPWt_1FKiwhDph83XaGc0o0/edit?usp=sharing"",""งบพรบ!AB78"")"),770200)</f>
        <v>770200</v>
      </c>
      <c r="N58" s="45">
        <f ca="1">IFERROR(__xludf.DUMMYFUNCTION("IMPORTRANGE(""https://docs.google.com/spreadsheets/d/1MeEWN-I1oV_STSDYn1IFDPWt_1FKiwhDph83XaGc0o0/edit?usp=sharing"",""งบพรบ!AD78"")"),729368.64)</f>
        <v>729368.64</v>
      </c>
      <c r="O58" s="45">
        <f t="shared" ca="1" si="32"/>
        <v>97.210267892842865</v>
      </c>
      <c r="P58" s="45">
        <f t="shared" ca="1" si="33"/>
        <v>94.698602960270065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350000</v>
      </c>
      <c r="M59" s="38">
        <f t="shared" ca="1" si="36"/>
        <v>350000</v>
      </c>
      <c r="N59" s="38">
        <f t="shared" ca="1" si="36"/>
        <v>350000</v>
      </c>
      <c r="O59" s="38">
        <f t="shared" ca="1" si="32"/>
        <v>100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IFERROR(__xludf.DUMMYFUNCTION("IMPORTRANGE(""https://docs.google.com/spreadsheets/d/1MeEWN-I1oV_STSDYn1IFDPWt_1FKiwhDph83XaGc0o0/edit?usp=sharing"",""งบพรบ!AG78"")"),0)</f>
        <v>0</v>
      </c>
      <c r="M71" s="45">
        <f ca="1">IFERROR(__xludf.DUMMYFUNCTION("IMPORTRANGE(""https://docs.google.com/spreadsheets/d/1MeEWN-I1oV_STSDYn1IFDPWt_1FKiwhDph83XaGc0o0/edit?usp=sharing"",""งบพรบ!AL78"")"),0)</f>
        <v>0</v>
      </c>
      <c r="N71" s="45">
        <f ca="1">IFERROR(__xludf.DUMMYFUNCTION("IMPORTRANGE(""https://docs.google.com/spreadsheets/d/1MeEWN-I1oV_STSDYn1IFDPWt_1FKiwhDph83XaGc0o0/edit?usp=sharing"",""งบพรบ!AN78"")"),0)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IFERROR(__xludf.DUMMYFUNCTION("IMPORTRANGE(""https://docs.google.com/spreadsheets/d/1MeEWN-I1oV_STSDYn1IFDPWt_1FKiwhDph83XaGc0o0/edit?usp=sharing"",""งบพรบ!AJ78"")"),0)</f>
        <v>0</v>
      </c>
      <c r="M74" s="45">
        <f ca="1">IFERROR(__xludf.DUMMYFUNCTION("IMPORTRANGE(""https://docs.google.com/spreadsheets/d/1MeEWN-I1oV_STSDYn1IFDPWt_1FKiwhDph83XaGc0o0/edit?usp=sharing"",""งบพรบ!AM78"")"),0)</f>
        <v>0</v>
      </c>
      <c r="N74" s="45">
        <f ca="1">IFERROR(__xludf.DUMMYFUNCTION("IMPORTRANGE(""https://docs.google.com/spreadsheets/d/1MeEWN-I1oV_STSDYn1IFDPWt_1FKiwhDph83XaGc0o0/edit?usp=sharing"",""งบพรบ!AO78"")"),0)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IFERROR(__xludf.DUMMYFUNCTION("IMPORTRANGE(""https://docs.google.com/spreadsheets/d/1QqKyyYR6Q21VydFLVH3TRQUabQu_ym0Zz7PgGX0-kHA/edit?usp=sharing"",""แผน!H78"")"),0)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IFERROR(__xludf.DUMMYFUNCTION("IMPORTRANGE(""https://docs.google.com/spreadsheets/d/1QqKyyYR6Q21VydFLVH3TRQUabQu_ym0Zz7PgGX0-kHA/edit?usp=sharing"",""แผน!I78"")"),0)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IFERROR(__xludf.DUMMYFUNCTION("IMPORTRANGE(""https://docs.google.com/spreadsheets/d/1QqKyyYR6Q21VydFLVH3TRQUabQu_ym0Zz7PgGX0-kHA/edit?usp=sharing"",""แผน!F78"")"),0)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IFERROR(__xludf.DUMMYFUNCTION("IMPORTRANGE(""https://docs.google.com/spreadsheets/d/1QqKyyYR6Q21VydFLVH3TRQUabQu_ym0Zz7PgGX0-kHA/edit?usp=sharing"",""แผน!G78"")"),0)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IFERROR(__xludf.DUMMYFUNCTION("IMPORTRANGE(""https://docs.google.com/spreadsheets/d/1QqKyyYR6Q21VydFLVH3TRQUabQu_ym0Zz7PgGX0-kHA/edit?usp=sharing"",""แผน!D78"")"),0)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IFERROR(__xludf.DUMMYFUNCTION("IMPORTRANGE(""https://docs.google.com/spreadsheets/d/1QqKyyYR6Q21VydFLVH3TRQUabQu_ym0Zz7PgGX0-kHA/edit?usp=sharing"",""แผน!E78"")"),0)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IFERROR(__xludf.DUMMYFUNCTION("IMPORTRANGE(""https://docs.google.com/spreadsheets/d/1QqKyyYR6Q21VydFLVH3TRQUabQu_ym0Zz7PgGX0-kHA/edit?usp=sharing"",""แผน!J78"")"),0)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26440</v>
      </c>
      <c r="M88" s="154">
        <f t="shared" ca="1" si="49"/>
        <v>26440</v>
      </c>
      <c r="N88" s="154">
        <f t="shared" ca="1" si="49"/>
        <v>21303</v>
      </c>
      <c r="O88" s="154">
        <f t="shared" ref="O88:O96" ca="1" si="50">IF(L88&gt;0,N88*100/L88,0)</f>
        <v>80.571104387291982</v>
      </c>
      <c r="P88" s="154">
        <f t="shared" ref="P88:P96" ca="1" si="51">IF(M88&gt;0,N88*100/M88,0)</f>
        <v>80.571104387291982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26440</v>
      </c>
      <c r="M90" s="45">
        <f t="shared" ca="1" si="52"/>
        <v>26440</v>
      </c>
      <c r="N90" s="45">
        <f t="shared" ca="1" si="52"/>
        <v>21303</v>
      </c>
      <c r="O90" s="45">
        <f t="shared" ca="1" si="50"/>
        <v>80.571104387291982</v>
      </c>
      <c r="P90" s="45">
        <f t="shared" ca="1" si="51"/>
        <v>80.571104387291982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26440</v>
      </c>
      <c r="M91" s="38">
        <f t="shared" ca="1" si="53"/>
        <v>26440</v>
      </c>
      <c r="N91" s="38">
        <f t="shared" ca="1" si="53"/>
        <v>21303</v>
      </c>
      <c r="O91" s="38">
        <f t="shared" ca="1" si="50"/>
        <v>80.571104387291982</v>
      </c>
      <c r="P91" s="38">
        <f t="shared" ca="1" si="51"/>
        <v>80.571104387291982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IFERROR(__xludf.DUMMYFUNCTION("IMPORTRANGE(""https://docs.google.com/spreadsheets/d/1MeEWN-I1oV_STSDYn1IFDPWt_1FKiwhDph83XaGc0o0/edit?usp=sharing"",""งบพรบ!AQ78"")"),26440)</f>
        <v>26440</v>
      </c>
      <c r="M93" s="45">
        <f ca="1">IFERROR(__xludf.DUMMYFUNCTION("IMPORTRANGE(""https://docs.google.com/spreadsheets/d/1MeEWN-I1oV_STSDYn1IFDPWt_1FKiwhDph83XaGc0o0/edit?usp=sharing"",""งบพรบ!AV78"")"),26440)</f>
        <v>26440</v>
      </c>
      <c r="N93" s="45">
        <f ca="1">IFERROR(__xludf.DUMMYFUNCTION("IMPORTRANGE(""https://docs.google.com/spreadsheets/d/1MeEWN-I1oV_STSDYn1IFDPWt_1FKiwhDph83XaGc0o0/edit?usp=sharing"",""งบพรบ!AX78"")"),21303)</f>
        <v>21303</v>
      </c>
      <c r="O93" s="45">
        <f t="shared" ca="1" si="50"/>
        <v>80.571104387291982</v>
      </c>
      <c r="P93" s="45">
        <f t="shared" ca="1" si="51"/>
        <v>80.571104387291982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IFERROR(__xludf.DUMMYFUNCTION("IMPORTRANGE(""https://docs.google.com/spreadsheets/d/1MeEWN-I1oV_STSDYn1IFDPWt_1FKiwhDph83XaGc0o0/edit?usp=sharing"",""งบพรบ!AT78"")"),0)</f>
        <v>0</v>
      </c>
      <c r="M96" s="45">
        <f ca="1">IFERROR(__xludf.DUMMYFUNCTION("IMPORTRANGE(""https://docs.google.com/spreadsheets/d/1MeEWN-I1oV_STSDYn1IFDPWt_1FKiwhDph83XaGc0o0/edit?usp=sharing"",""งบพรบ!AW78"")"),0)</f>
        <v>0</v>
      </c>
      <c r="N96" s="45">
        <f ca="1">IFERROR(__xludf.DUMMYFUNCTION("IMPORTRANGE(""https://docs.google.com/spreadsheets/d/1MeEWN-I1oV_STSDYn1IFDPWt_1FKiwhDph83XaGc0o0/edit?usp=sharing"",""งบพรบ!AY78"")"),0)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IFERROR(__xludf.DUMMYFUNCTION("IMPORTRANGE(""https://docs.google.com/spreadsheets/d/1QqKyyYR6Q21VydFLVH3TRQUabQu_ym0Zz7PgGX0-kHA/edit?usp=sharing"",""แผน!K78"")"),30)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IFERROR(__xludf.DUMMYFUNCTION("IMPORTRANGE(""https://docs.google.com/spreadsheets/d/1QqKyyYR6Q21VydFLVH3TRQUabQu_ym0Zz7PgGX0-kHA/edit?usp=sharing"",""แผน!L78"")"),10)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IFERROR(__xludf.DUMMYFUNCTION("IMPORTRANGE(""https://docs.google.com/spreadsheets/d/1QqKyyYR6Q21VydFLVH3TRQUabQu_ym0Zz7PgGX0-kHA/edit?usp=sharing"",""แผน!M78"")"),0)</f>
        <v>0</v>
      </c>
      <c r="J100" s="37">
        <f>J107+J110</f>
        <v>0</v>
      </c>
      <c r="K100" s="38">
        <f t="shared" ca="1" si="55"/>
        <v>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IFERROR(__xludf.DUMMYFUNCTION("IMPORTRANGE(""https://docs.google.com/spreadsheets/d/1QqKyyYR6Q21VydFLVH3TRQUabQu_ym0Zz7PgGX0-kHA/edit?usp=sharing"",""แผน!N78"")"),30)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IFERROR(__xludf.DUMMYFUNCTION("IMPORTRANGE(""https://docs.google.com/spreadsheets/d/1QqKyyYR6Q21VydFLVH3TRQUabQu_ym0Zz7PgGX0-kHA/edit?usp=sharing"",""แผน!O78"")"),10)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IFERROR(__xludf.DUMMYFUNCTION("IMPORTRANGE(""https://docs.google.com/spreadsheets/d/1QqKyyYR6Q21VydFLVH3TRQUabQu_ym0Zz7PgGX0-kHA/edit?usp=sharing"",""แผน!O78"")"),10)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IFERROR(__xludf.DUMMYFUNCTION("IMPORTRANGE(""https://docs.google.com/spreadsheets/d/1QqKyyYR6Q21VydFLVH3TRQUabQu_ym0Zz7PgGX0-kHA/edit?usp=sharing"",""แผน!P78"")"),0)</f>
        <v>0</v>
      </c>
      <c r="J106" s="181">
        <v>0</v>
      </c>
      <c r="K106" s="38">
        <f t="shared" ref="K106:K107" ca="1" si="57">IF(I106&gt;0,J106*100/I106,0)</f>
        <v>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IFERROR(__xludf.DUMMYFUNCTION("IMPORTRANGE(""https://docs.google.com/spreadsheets/d/1QqKyyYR6Q21VydFLVH3TRQUabQu_ym0Zz7PgGX0-kHA/edit?usp=sharing"",""แผน!P78"")"),0)</f>
        <v>0</v>
      </c>
      <c r="J107" s="181">
        <v>0</v>
      </c>
      <c r="K107" s="38">
        <f t="shared" ca="1" si="57"/>
        <v>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IFERROR(__xludf.DUMMYFUNCTION("IMPORTRANGE(""https://docs.google.com/spreadsheets/d/1QqKyyYR6Q21VydFLVH3TRQUabQu_ym0Zz7PgGX0-kHA/edit?usp=sharing"",""แผน!Q78"")"),0)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IFERROR(__xludf.DUMMYFUNCTION("IMPORTRANGE(""https://docs.google.com/spreadsheets/d/1QqKyyYR6Q21VydFLVH3TRQUabQu_ym0Zz7PgGX0-kHA/edit?usp=sharing"",""แผน!Q78"")"),0)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IFERROR(__xludf.DUMMYFUNCTION("IMPORTRANGE(""https://docs.google.com/spreadsheets/d/1QqKyyYR6Q21VydFLVH3TRQUabQu_ym0Zz7PgGX0-kHA/edit?usp=sharing"",""แผน!R78"")"),10)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0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IFERROR(__xludf.DUMMYFUNCTION("IMPORTRANGE(""https://docs.google.com/spreadsheets/d/1QqKyyYR6Q21VydFLVH3TRQUabQu_ym0Zz7PgGX0-kHA/edit?usp=sharing"",""แผน!R78"")"),10)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IFERROR(__xludf.DUMMYFUNCTION("IMPORTRANGE(""https://docs.google.com/spreadsheets/d/1QqKyyYR6Q21VydFLVH3TRQUabQu_ym0Zz7PgGX0-kHA/edit?usp=sharing"",""แผน!R78"")"),10)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IFERROR(__xludf.DUMMYFUNCTION("IMPORTRANGE(""https://docs.google.com/spreadsheets/d/1QqKyyYR6Q21VydFLVH3TRQUabQu_ym0Zz7PgGX0-kHA/edit?usp=sharing"",""แผน!S78"")"),0)</f>
        <v>0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IFERROR(__xludf.DUMMYFUNCTION("IMPORTRANGE(""https://docs.google.com/spreadsheets/d/1QqKyyYR6Q21VydFLVH3TRQUabQu_ym0Zz7PgGX0-kHA/edit?usp=sharing"",""แผน!T78"")"),0)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>
      <c r="A118" s="137"/>
      <c r="B118" s="138" t="s">
        <v>65</v>
      </c>
      <c r="C118" s="200"/>
      <c r="D118" s="140"/>
      <c r="E118" s="139"/>
      <c r="F118" s="139"/>
      <c r="G118" s="141"/>
      <c r="H118" s="142" t="s">
        <v>66</v>
      </c>
      <c r="I118" s="202">
        <v>1</v>
      </c>
      <c r="J118" s="202">
        <f>J440</f>
        <v>1</v>
      </c>
      <c r="K118" s="145">
        <f>IF(I118&gt;0,J118*100/I118,0)</f>
        <v>100</v>
      </c>
      <c r="L118" s="145"/>
      <c r="M118" s="145"/>
      <c r="N118" s="145"/>
      <c r="O118" s="145"/>
      <c r="P118" s="145"/>
    </row>
    <row r="119" spans="1:26" ht="19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42000</v>
      </c>
      <c r="M119" s="154">
        <f t="shared" ca="1" si="60"/>
        <v>42000</v>
      </c>
      <c r="N119" s="154">
        <f t="shared" ca="1" si="60"/>
        <v>42000</v>
      </c>
      <c r="O119" s="154">
        <f t="shared" ref="O119:O127" ca="1" si="61">IF(L119&gt;0,N119*100/L119,0)</f>
        <v>100</v>
      </c>
      <c r="P119" s="154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42000</v>
      </c>
      <c r="M121" s="45">
        <f t="shared" ca="1" si="63"/>
        <v>42000</v>
      </c>
      <c r="N121" s="45">
        <f t="shared" ca="1" si="63"/>
        <v>42000</v>
      </c>
      <c r="O121" s="45">
        <f t="shared" ca="1" si="61"/>
        <v>100</v>
      </c>
      <c r="P121" s="45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IFERROR(__xludf.DUMMYFUNCTION("IMPORTRANGE(""https://docs.google.com/spreadsheets/d/1MeEWN-I1oV_STSDYn1IFDPWt_1FKiwhDph83XaGc0o0/edit?usp=sharing"",""งบพรบ!BA78"")"),0)</f>
        <v>0</v>
      </c>
      <c r="M124" s="45">
        <f ca="1">IFERROR(__xludf.DUMMYFUNCTION("IMPORTRANGE(""https://docs.google.com/spreadsheets/d/1MeEWN-I1oV_STSDYn1IFDPWt_1FKiwhDph83XaGc0o0/edit?usp=sharing"",""งบพรบ!BF78"")"),0)</f>
        <v>0</v>
      </c>
      <c r="N124" s="45">
        <f ca="1">IFERROR(__xludf.DUMMYFUNCTION("IMPORTRANGE(""https://docs.google.com/spreadsheets/d/1MeEWN-I1oV_STSDYn1IFDPWt_1FKiwhDph83XaGc0o0/edit?usp=sharing"",""งบพรบ!BH78"")"),0)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42000</v>
      </c>
      <c r="M125" s="38">
        <f t="shared" ca="1" si="65"/>
        <v>42000</v>
      </c>
      <c r="N125" s="38">
        <f t="shared" ca="1" si="65"/>
        <v>42000</v>
      </c>
      <c r="O125" s="38">
        <f t="shared" ca="1" si="61"/>
        <v>100</v>
      </c>
      <c r="P125" s="3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IFERROR(__xludf.DUMMYFUNCTION("IMPORTRANGE(""https://docs.google.com/spreadsheets/d/1MeEWN-I1oV_STSDYn1IFDPWt_1FKiwhDph83XaGc0o0/edit?usp=sharing"",""งบพรบ!BD78"")"),42000)</f>
        <v>42000</v>
      </c>
      <c r="M127" s="45">
        <f ca="1">IFERROR(__xludf.DUMMYFUNCTION("IMPORTRANGE(""https://docs.google.com/spreadsheets/d/1MeEWN-I1oV_STSDYn1IFDPWt_1FKiwhDph83XaGc0o0/edit?usp=sharing"",""งบพรบ!BG78"")"),42000)</f>
        <v>42000</v>
      </c>
      <c r="N127" s="45">
        <f ca="1">IFERROR(__xludf.DUMMYFUNCTION("IMPORTRANGE(""https://docs.google.com/spreadsheets/d/1MeEWN-I1oV_STSDYn1IFDPWt_1FKiwhDph83XaGc0o0/edit?usp=sharing"",""งบพรบ!BI78"")"),42000)</f>
        <v>42000</v>
      </c>
      <c r="O127" s="45">
        <f t="shared" ca="1" si="61"/>
        <v>100</v>
      </c>
      <c r="P127" s="45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2</v>
      </c>
      <c r="J130" s="143">
        <f t="shared" si="66"/>
        <v>2</v>
      </c>
      <c r="K130" s="144">
        <f t="shared" ref="K130:K131" ca="1" si="67">IF(I130&gt;0,J130*100/I130,0)</f>
        <v>100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20</v>
      </c>
      <c r="J131" s="143">
        <f t="shared" ca="1" si="68"/>
        <v>20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303310</v>
      </c>
      <c r="M132" s="154">
        <f t="shared" ca="1" si="69"/>
        <v>303310</v>
      </c>
      <c r="N132" s="154">
        <f t="shared" ca="1" si="69"/>
        <v>248410</v>
      </c>
      <c r="O132" s="154">
        <f t="shared" ref="O132:O140" ca="1" si="70">IF(L132&gt;0,N132*100/L132,0)</f>
        <v>81.899706570835122</v>
      </c>
      <c r="P132" s="154">
        <f t="shared" ref="P132:P140" ca="1" si="71">IF(M132&gt;0,N132*100/M132,0)</f>
        <v>81.899706570835122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303310</v>
      </c>
      <c r="M134" s="45">
        <f t="shared" ca="1" si="72"/>
        <v>303310</v>
      </c>
      <c r="N134" s="45">
        <f t="shared" ca="1" si="72"/>
        <v>248410</v>
      </c>
      <c r="O134" s="45">
        <f t="shared" ca="1" si="70"/>
        <v>81.899706570835122</v>
      </c>
      <c r="P134" s="45">
        <f t="shared" ca="1" si="71"/>
        <v>81.899706570835122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97310</v>
      </c>
      <c r="M135" s="38">
        <f t="shared" ca="1" si="73"/>
        <v>97310</v>
      </c>
      <c r="N135" s="38">
        <f t="shared" ca="1" si="73"/>
        <v>42410</v>
      </c>
      <c r="O135" s="38">
        <f t="shared" ca="1" si="70"/>
        <v>43.582365635597576</v>
      </c>
      <c r="P135" s="38">
        <f t="shared" ca="1" si="71"/>
        <v>43.582365635597576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IFERROR(__xludf.DUMMYFUNCTION("IMPORTRANGE(""https://docs.google.com/spreadsheets/d/1MeEWN-I1oV_STSDYn1IFDPWt_1FKiwhDph83XaGc0o0/edit?usp=sharing"",""งบพรบ!BK78"")"),97310)</f>
        <v>97310</v>
      </c>
      <c r="M137" s="45">
        <f ca="1">IFERROR(__xludf.DUMMYFUNCTION("IMPORTRANGE(""https://docs.google.com/spreadsheets/d/1MeEWN-I1oV_STSDYn1IFDPWt_1FKiwhDph83XaGc0o0/edit?usp=sharing"",""งบพรบ!BP78"")"),97310)</f>
        <v>97310</v>
      </c>
      <c r="N137" s="45">
        <f ca="1">IFERROR(__xludf.DUMMYFUNCTION("IMPORTRANGE(""https://docs.google.com/spreadsheets/d/1MeEWN-I1oV_STSDYn1IFDPWt_1FKiwhDph83XaGc0o0/edit?usp=sharing"",""งบพรบ!BR78"")"),42410)</f>
        <v>42410</v>
      </c>
      <c r="O137" s="45">
        <f t="shared" ca="1" si="70"/>
        <v>43.582365635597576</v>
      </c>
      <c r="P137" s="45">
        <f t="shared" ca="1" si="71"/>
        <v>43.582365635597576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206000</v>
      </c>
      <c r="M138" s="38">
        <f t="shared" ca="1" si="74"/>
        <v>206000</v>
      </c>
      <c r="N138" s="38">
        <f t="shared" ca="1" si="74"/>
        <v>206000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IFERROR(__xludf.DUMMYFUNCTION("IMPORTRANGE(""https://docs.google.com/spreadsheets/d/1MeEWN-I1oV_STSDYn1IFDPWt_1FKiwhDph83XaGc0o0/edit?usp=sharing"",""งบพรบ!BN78"")"),206000)</f>
        <v>206000</v>
      </c>
      <c r="M140" s="45">
        <f ca="1">IFERROR(__xludf.DUMMYFUNCTION("IMPORTRANGE(""https://docs.google.com/spreadsheets/d/1MeEWN-I1oV_STSDYn1IFDPWt_1FKiwhDph83XaGc0o0/edit?usp=sharing"",""งบพรบ!BQ78"")"),206000)</f>
        <v>206000</v>
      </c>
      <c r="N140" s="45">
        <f ca="1">IFERROR(__xludf.DUMMYFUNCTION("IMPORTRANGE(""https://docs.google.com/spreadsheets/d/1MeEWN-I1oV_STSDYn1IFDPWt_1FKiwhDph83XaGc0o0/edit?usp=sharing"",""งบพรบ!BS78"")"),206000)</f>
        <v>206000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20</v>
      </c>
      <c r="J143" s="37">
        <f ca="1">IF(AND(J144&gt;=I144,J145&gt;=I145),J145,0)</f>
        <v>20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IFERROR(__xludf.DUMMYFUNCTION("IMPORTRANGE(""https://docs.google.com/spreadsheets/d/1QqKyyYR6Q21VydFLVH3TRQUabQu_ym0Zz7PgGX0-kHA/edit?usp=sharing"",""แผน!U78"")"),10)</f>
        <v>10</v>
      </c>
      <c r="J144" s="181">
        <v>20</v>
      </c>
      <c r="K144" s="38">
        <f t="shared" ca="1" si="75"/>
        <v>200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IFERROR(__xludf.DUMMYFUNCTION("IMPORTRANGE(""https://docs.google.com/spreadsheets/d/1QqKyyYR6Q21VydFLVH3TRQUabQu_ym0Zz7PgGX0-kHA/edit?usp=sharing"",""แผน!V78"")"),20)</f>
        <v>20</v>
      </c>
      <c r="J145" s="181">
        <v>20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IFERROR(__xludf.DUMMYFUNCTION("IMPORTRANGE(""https://docs.google.com/spreadsheets/d/1QqKyyYR6Q21VydFLVH3TRQUabQu_ym0Zz7PgGX0-kHA/edit?usp=sharing"",""แผน!W78"")"),2)</f>
        <v>2</v>
      </c>
      <c r="J146" s="181">
        <v>2</v>
      </c>
      <c r="K146" s="38">
        <f t="shared" ca="1" si="75"/>
        <v>100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IFERROR(__xludf.DUMMYFUNCTION("IMPORTRANGE(""https://docs.google.com/spreadsheets/d/1MeEWN-I1oV_STSDYn1IFDPWt_1FKiwhDph83XaGc0o0/edit?usp=sharing"",""งบพรบ!BU78"")"),0)</f>
        <v>0</v>
      </c>
      <c r="M154" s="45">
        <f ca="1">IFERROR(__xludf.DUMMYFUNCTION("IMPORTRANGE(""https://docs.google.com/spreadsheets/d/1MeEWN-I1oV_STSDYn1IFDPWt_1FKiwhDph83XaGc0o0/edit?usp=sharing"",""งบพรบ!BZ78"")"),0)</f>
        <v>0</v>
      </c>
      <c r="N154" s="45">
        <f ca="1">IFERROR(__xludf.DUMMYFUNCTION("IMPORTRANGE(""https://docs.google.com/spreadsheets/d/1MeEWN-I1oV_STSDYn1IFDPWt_1FKiwhDph83XaGc0o0/edit?usp=sharing"",""งบพรบ!CB78"")"),0)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IFERROR(__xludf.DUMMYFUNCTION("IMPORTRANGE(""https://docs.google.com/spreadsheets/d/1MeEWN-I1oV_STSDYn1IFDPWt_1FKiwhDph83XaGc0o0/edit?usp=sharing"",""งบพรบ!BX78"")"),0)</f>
        <v>0</v>
      </c>
      <c r="M157" s="45">
        <f ca="1">IFERROR(__xludf.DUMMYFUNCTION("IMPORTRANGE(""https://docs.google.com/spreadsheets/d/1MeEWN-I1oV_STSDYn1IFDPWt_1FKiwhDph83XaGc0o0/edit?usp=sharing"",""งบพรบ!CA78"")"),0)</f>
        <v>0</v>
      </c>
      <c r="N157" s="45">
        <f ca="1">IFERROR(__xludf.DUMMYFUNCTION("IMPORTRANGE(""https://docs.google.com/spreadsheets/d/1MeEWN-I1oV_STSDYn1IFDPWt_1FKiwhDph83XaGc0o0/edit?usp=sharing"",""งบพรบ!CC78"")"),0)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IFERROR(__xludf.DUMMYFUNCTION("IMPORTRANGE(""https://docs.google.com/spreadsheets/d/1QqKyyYR6Q21VydFLVH3TRQUabQu_ym0Zz7PgGX0-kHA/edit?usp=sharing"",""แผน!X78"")"),0)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13</v>
      </c>
      <c r="J164" s="242">
        <f t="shared" si="83"/>
        <v>13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24065</v>
      </c>
      <c r="M165" s="154">
        <f t="shared" ca="1" si="84"/>
        <v>40995</v>
      </c>
      <c r="N165" s="154">
        <f t="shared" ca="1" si="84"/>
        <v>40995</v>
      </c>
      <c r="O165" s="154">
        <f t="shared" ref="O165:O173" ca="1" si="85">IF(L165&gt;0,N165*100/L165,0)</f>
        <v>170.35113234988572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24065</v>
      </c>
      <c r="M167" s="45">
        <f t="shared" ca="1" si="87"/>
        <v>40995</v>
      </c>
      <c r="N167" s="45">
        <f t="shared" ca="1" si="87"/>
        <v>40995</v>
      </c>
      <c r="O167" s="45">
        <f t="shared" ca="1" si="85"/>
        <v>170.35113234988572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24065</v>
      </c>
      <c r="M168" s="38">
        <f t="shared" ca="1" si="88"/>
        <v>40995</v>
      </c>
      <c r="N168" s="38">
        <f t="shared" ca="1" si="88"/>
        <v>40995</v>
      </c>
      <c r="O168" s="38">
        <f t="shared" ca="1" si="85"/>
        <v>170.35113234988572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IFERROR(__xludf.DUMMYFUNCTION("IMPORTRANGE(""https://docs.google.com/spreadsheets/d/1MeEWN-I1oV_STSDYn1IFDPWt_1FKiwhDph83XaGc0o0/edit?usp=sharing"",""งบพรบ!CE78"")"),24065)</f>
        <v>24065</v>
      </c>
      <c r="M170" s="45">
        <f ca="1">IFERROR(__xludf.DUMMYFUNCTION("IMPORTRANGE(""https://docs.google.com/spreadsheets/d/1MeEWN-I1oV_STSDYn1IFDPWt_1FKiwhDph83XaGc0o0/edit?usp=sharing"",""งบพรบ!CJ78"")"),40995)</f>
        <v>40995</v>
      </c>
      <c r="N170" s="45">
        <f ca="1">IFERROR(__xludf.DUMMYFUNCTION("IMPORTRANGE(""https://docs.google.com/spreadsheets/d/1MeEWN-I1oV_STSDYn1IFDPWt_1FKiwhDph83XaGc0o0/edit?usp=sharing"",""งบพรบ!CL78"")"),40995)</f>
        <v>40995</v>
      </c>
      <c r="O170" s="45">
        <f t="shared" ca="1" si="85"/>
        <v>170.35113234988572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IFERROR(__xludf.DUMMYFUNCTION("IMPORTRANGE(""https://docs.google.com/spreadsheets/d/1MeEWN-I1oV_STSDYn1IFDPWt_1FKiwhDph83XaGc0o0/edit?usp=sharing"",""งบพรบ!CH78"")"),0)</f>
        <v>0</v>
      </c>
      <c r="M173" s="45">
        <f ca="1">IFERROR(__xludf.DUMMYFUNCTION("IMPORTRANGE(""https://docs.google.com/spreadsheets/d/1MeEWN-I1oV_STSDYn1IFDPWt_1FKiwhDph83XaGc0o0/edit?usp=sharing"",""งบพรบ!CK78"")"),0)</f>
        <v>0</v>
      </c>
      <c r="N173" s="45">
        <f ca="1">IFERROR(__xludf.DUMMYFUNCTION("IMPORTRANGE(""https://docs.google.com/spreadsheets/d/1MeEWN-I1oV_STSDYn1IFDPWt_1FKiwhDph83XaGc0o0/edit?usp=sharing"",""งบพรบ!CM78"")"),0)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13</v>
      </c>
      <c r="J174" s="250">
        <f t="shared" si="90"/>
        <v>13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IFERROR(__xludf.DUMMYFUNCTION("IMPORTRANGE(""https://docs.google.com/spreadsheets/d/1QqKyyYR6Q21VydFLVH3TRQUabQu_ym0Zz7PgGX0-kHA/edit?usp=sharing"",""แผน!Y78"")"),13)</f>
        <v>13</v>
      </c>
      <c r="J176" s="181">
        <v>13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100</v>
      </c>
      <c r="J180" s="242">
        <f t="shared" si="91"/>
        <v>110</v>
      </c>
      <c r="K180" s="243">
        <f ca="1">IF(I180&gt;0,J180*100/I180,0)</f>
        <v>110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673400</v>
      </c>
      <c r="M181" s="154">
        <f t="shared" ca="1" si="92"/>
        <v>691840</v>
      </c>
      <c r="N181" s="154">
        <f t="shared" ca="1" si="92"/>
        <v>528695.30000000005</v>
      </c>
      <c r="O181" s="154">
        <f t="shared" ref="O181:O189" ca="1" si="93">IF(L181&gt;0,N181*100/L181,0)</f>
        <v>78.511330561330567</v>
      </c>
      <c r="P181" s="154">
        <f t="shared" ref="P181:P189" ca="1" si="94">IF(M181&gt;0,N181*100/M181,0)</f>
        <v>76.418723982423685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673400</v>
      </c>
      <c r="M183" s="45">
        <f t="shared" ca="1" si="95"/>
        <v>691840</v>
      </c>
      <c r="N183" s="45">
        <f t="shared" ca="1" si="95"/>
        <v>528695.30000000005</v>
      </c>
      <c r="O183" s="45">
        <f t="shared" ca="1" si="93"/>
        <v>78.511330561330567</v>
      </c>
      <c r="P183" s="45">
        <f t="shared" ca="1" si="94"/>
        <v>76.418723982423685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673400</v>
      </c>
      <c r="M184" s="38">
        <f t="shared" ca="1" si="96"/>
        <v>691840</v>
      </c>
      <c r="N184" s="38">
        <f t="shared" ca="1" si="96"/>
        <v>528695.30000000005</v>
      </c>
      <c r="O184" s="38">
        <f t="shared" ca="1" si="93"/>
        <v>78.511330561330567</v>
      </c>
      <c r="P184" s="38">
        <f t="shared" ca="1" si="94"/>
        <v>76.418723982423685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IFERROR(__xludf.DUMMYFUNCTION("IMPORTRANGE(""https://docs.google.com/spreadsheets/d/1MeEWN-I1oV_STSDYn1IFDPWt_1FKiwhDph83XaGc0o0/edit?usp=sharing"",""งบพรบ!CO78"")"),673400)</f>
        <v>673400</v>
      </c>
      <c r="M186" s="45">
        <f ca="1">IFERROR(__xludf.DUMMYFUNCTION("IMPORTRANGE(""https://docs.google.com/spreadsheets/d/1MeEWN-I1oV_STSDYn1IFDPWt_1FKiwhDph83XaGc0o0/edit?usp=sharing"",""งบพรบ!CT78"")"),691840)</f>
        <v>691840</v>
      </c>
      <c r="N186" s="45">
        <f ca="1">IFERROR(__xludf.DUMMYFUNCTION("IMPORTRANGE(""https://docs.google.com/spreadsheets/d/1MeEWN-I1oV_STSDYn1IFDPWt_1FKiwhDph83XaGc0o0/edit?usp=sharing"",""งบพรบ!CV78"")"),528695.3)</f>
        <v>528695.30000000005</v>
      </c>
      <c r="O186" s="45">
        <f t="shared" ca="1" si="93"/>
        <v>78.511330561330567</v>
      </c>
      <c r="P186" s="45">
        <f t="shared" ca="1" si="94"/>
        <v>76.418723982423685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IFERROR(__xludf.DUMMYFUNCTION("IMPORTRANGE(""https://docs.google.com/spreadsheets/d/1MeEWN-I1oV_STSDYn1IFDPWt_1FKiwhDph83XaGc0o0/edit?usp=sharing"",""งบพรบ!CR78"")"),0)</f>
        <v>0</v>
      </c>
      <c r="M189" s="45">
        <f ca="1">IFERROR(__xludf.DUMMYFUNCTION("IMPORTRANGE(""https://docs.google.com/spreadsheets/d/1MeEWN-I1oV_STSDYn1IFDPWt_1FKiwhDph83XaGc0o0/edit?usp=sharing"",""งบพรบ!CU78"")"),0)</f>
        <v>0</v>
      </c>
      <c r="N189" s="45">
        <f ca="1">IFERROR(__xludf.DUMMYFUNCTION("IMPORTRANGE(""https://docs.google.com/spreadsheets/d/1MeEWN-I1oV_STSDYn1IFDPWt_1FKiwhDph83XaGc0o0/edit?usp=sharing"",""งบพรบ!CW78"")"),0)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IFERROR(__xludf.DUMMYFUNCTION("IMPORTRANGE(""https://docs.google.com/spreadsheets/d/1QqKyyYR6Q21VydFLVH3TRQUabQu_ym0Zz7PgGX0-kHA/edit?usp=sharing"",""แผน!Z78"")"),6000)</f>
        <v>6000</v>
      </c>
      <c r="M191" s="154"/>
      <c r="N191" s="264">
        <f>860+1060+2030</f>
        <v>3950</v>
      </c>
      <c r="O191" s="154">
        <f ca="1">IF(L191&gt;0,N191*100/L191,0)</f>
        <v>65.833333333333329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IFERROR(__xludf.DUMMYFUNCTION("IMPORTRANGE(""https://docs.google.com/spreadsheets/d/1QqKyyYR6Q21VydFLVH3TRQUabQu_ym0Zz7PgGX0-kHA/edit?usp=sharing"",""แผน!AC78"")"),4)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162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f>54+55+53</f>
        <v>162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3</v>
      </c>
      <c r="J197" s="260">
        <f t="shared" si="99"/>
        <v>3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44000</v>
      </c>
      <c r="M198" s="154"/>
      <c r="N198" s="154">
        <f>N199+N200+N201+N202</f>
        <v>31594</v>
      </c>
      <c r="O198" s="154">
        <f ca="1">IF(L198&gt;0,N198*100/L198,0)</f>
        <v>71.804545454545448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IFERROR(__xludf.DUMMYFUNCTION("IMPORTRANGE(""https://docs.google.com/spreadsheets/d/1QqKyyYR6Q21VydFLVH3TRQUabQu_ym0Zz7PgGX0-kHA/edit?usp=sharing"",""แผน!AE78"")"),3000)</f>
        <v>3000</v>
      </c>
      <c r="M199" s="38"/>
      <c r="N199" s="270">
        <v>1100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IFERROR(__xludf.DUMMYFUNCTION("IMPORTRANGE(""https://docs.google.com/spreadsheets/d/1QqKyyYR6Q21VydFLVH3TRQUabQu_ym0Zz7PgGX0-kHA/edit?usp=sharing"",""แผน!AF78"")"),24000)</f>
        <v>24000</v>
      </c>
      <c r="M200" s="38"/>
      <c r="N200" s="270">
        <v>24000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IFERROR(__xludf.DUMMYFUNCTION("IMPORTRANGE(""https://docs.google.com/spreadsheets/d/1QqKyyYR6Q21VydFLVH3TRQUabQu_ym0Zz7PgGX0-kHA/edit?usp=sharing"",""แผน!AG78"")"),12000)</f>
        <v>12000</v>
      </c>
      <c r="M201" s="38"/>
      <c r="N201" s="270">
        <v>6494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IFERROR(__xludf.DUMMYFUNCTION("IMPORTRANGE(""https://docs.google.com/spreadsheets/d/1QqKyyYR6Q21VydFLVH3TRQUabQu_ym0Zz7PgGX0-kHA/edit?usp=sharing"",""แผน!AH78"")"),5000)</f>
        <v>5000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IFERROR(__xludf.DUMMYFUNCTION("IMPORTRANGE(""https://docs.google.com/spreadsheets/d/1QqKyyYR6Q21VydFLVH3TRQUabQu_ym0Zz7PgGX0-kHA/edit?usp=sharing"",""แผน!AI78"")"),3)</f>
        <v>3</v>
      </c>
      <c r="J204" s="181">
        <v>3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3</v>
      </c>
      <c r="J206" s="181">
        <v>3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1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2</v>
      </c>
      <c r="J208" s="260">
        <f t="shared" si="101"/>
        <v>2</v>
      </c>
      <c r="K208" s="261">
        <f t="shared" ca="1" si="100"/>
        <v>100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28000</v>
      </c>
      <c r="M209" s="154"/>
      <c r="N209" s="154">
        <f>N210+N211+N212</f>
        <v>16305</v>
      </c>
      <c r="O209" s="154">
        <f ca="1">IF(L209&gt;0,N209*100/L209,0)</f>
        <v>58.232142857142854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IFERROR(__xludf.DUMMYFUNCTION("IMPORTRANGE(""https://docs.google.com/spreadsheets/d/1QqKyyYR6Q21VydFLVH3TRQUabQu_ym0Zz7PgGX0-kHA/edit?usp=sharing"",""แผน!AK78"")"),2000)</f>
        <v>2000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IFERROR(__xludf.DUMMYFUNCTION("IMPORTRANGE(""https://docs.google.com/spreadsheets/d/1QqKyyYR6Q21VydFLVH3TRQUabQu_ym0Zz7PgGX0-kHA/edit?usp=sharing"",""แผน!AL78"")"),10000)</f>
        <v>10000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IFERROR(__xludf.DUMMYFUNCTION("IMPORTRANGE(""https://docs.google.com/spreadsheets/d/1QqKyyYR6Q21VydFLVH3TRQUabQu_ym0Zz7PgGX0-kHA/edit?usp=sharing"",""แผน!AM78"")"),16000)</f>
        <v>16000</v>
      </c>
      <c r="M212" s="38"/>
      <c r="N212" s="270">
        <v>16305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IFERROR(__xludf.DUMMYFUNCTION("IMPORTRANGE(""https://docs.google.com/spreadsheets/d/1QqKyyYR6Q21VydFLVH3TRQUabQu_ym0Zz7PgGX0-kHA/edit?usp=sharing"",""แผน!AN78"")"),2)</f>
        <v>2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IFERROR(__xludf.DUMMYFUNCTION("IMPORTRANGE(""https://docs.google.com/spreadsheets/d/1QqKyyYR6Q21VydFLVH3TRQUabQu_ym0Zz7PgGX0-kHA/edit?usp=sharing"",""แผน!AN78"")"),2)</f>
        <v>2</v>
      </c>
      <c r="J215" s="181">
        <v>2</v>
      </c>
      <c r="K215" s="38">
        <f t="shared" ca="1" si="10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50000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18500</v>
      </c>
      <c r="M217" s="154"/>
      <c r="N217" s="154">
        <f>N218+N219+N220</f>
        <v>0</v>
      </c>
      <c r="O217" s="154">
        <f ca="1">IF(L217&gt;0,N217*100/L217,0)</f>
        <v>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IFERROR(__xludf.DUMMYFUNCTION("IMPORTRANGE(""https://docs.google.com/spreadsheets/d/1QqKyyYR6Q21VydFLVH3TRQUabQu_ym0Zz7PgGX0-kHA/edit?usp=sharing"",""แผน!AP78"")"),5000)</f>
        <v>5000</v>
      </c>
      <c r="M218" s="38"/>
      <c r="N218" s="270"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IFERROR(__xludf.DUMMYFUNCTION("IMPORTRANGE(""https://docs.google.com/spreadsheets/d/1QqKyyYR6Q21VydFLVH3TRQUabQu_ym0Zz7PgGX0-kHA/edit?usp=sharing"",""แผน!AQ78"")"),13500)</f>
        <v>13500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IFERROR(__xludf.DUMMYFUNCTION("IMPORTRANGE(""https://docs.google.com/spreadsheets/d/1QqKyyYR6Q21VydFLVH3TRQUabQu_ym0Zz7PgGX0-kHA/edit?usp=sharing"",""แผน!AR78"")"),0)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IFERROR(__xludf.DUMMYFUNCTION("IMPORTRANGE(""https://docs.google.com/spreadsheets/d/1QqKyyYR6Q21VydFLVH3TRQUabQu_ym0Zz7PgGX0-kHA/edit?usp=sharing"",""แผน!AT78"")"),50000)</f>
        <v>50000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IFERROR(__xludf.DUMMYFUNCTION("IMPORTRANGE(""https://docs.google.com/spreadsheets/d/1QqKyyYR6Q21VydFLVH3TRQUabQu_ym0Zz7PgGX0-kHA/edit?usp=sharing"",""แผน!AT78"")"),50000)</f>
        <v>50000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IFERROR(__xludf.DUMMYFUNCTION("IMPORTRANGE(""https://docs.google.com/spreadsheets/d/1QqKyyYR6Q21VydFLVH3TRQUabQu_ym0Zz7PgGX0-kHA/edit?usp=sharing"",""แผน!AS78"")"),0)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100</v>
      </c>
      <c r="J226" s="330">
        <f t="shared" si="105"/>
        <v>110</v>
      </c>
      <c r="K226" s="331">
        <f t="shared" ca="1" si="104"/>
        <v>110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293300</v>
      </c>
      <c r="M227" s="341"/>
      <c r="N227" s="341">
        <f t="shared" ref="N227:N231" si="107">N238+N249</f>
        <v>214602.33000000002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165000</v>
      </c>
      <c r="M228" s="45"/>
      <c r="N228" s="45">
        <f t="shared" si="107"/>
        <v>119083.33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88300</v>
      </c>
      <c r="M229" s="45"/>
      <c r="N229" s="45">
        <f t="shared" si="107"/>
        <v>85539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40000</v>
      </c>
      <c r="M231" s="45"/>
      <c r="N231" s="45">
        <f t="shared" si="107"/>
        <v>9980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100</v>
      </c>
      <c r="J233" s="44">
        <f t="shared" si="108"/>
        <v>110</v>
      </c>
      <c r="K233" s="45">
        <f ca="1">IF(I233&gt;0,J233*100/I233,0)</f>
        <v>110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4</v>
      </c>
      <c r="J236" s="44">
        <f t="shared" si="109"/>
        <v>1</v>
      </c>
      <c r="K236" s="45">
        <f t="shared" si="110"/>
        <v>25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>
      <c r="A237" s="245"/>
      <c r="B237" s="253"/>
      <c r="C237" s="259" t="s">
        <v>339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100</v>
      </c>
      <c r="J237" s="260">
        <f t="shared" si="111"/>
        <v>110</v>
      </c>
      <c r="K237" s="261">
        <f t="shared" ca="1" si="110"/>
        <v>110</v>
      </c>
      <c r="L237" s="251"/>
      <c r="M237" s="251"/>
      <c r="N237" s="251"/>
      <c r="O237" s="251"/>
      <c r="P237" s="251"/>
    </row>
    <row r="238" spans="1:26" ht="19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293300</v>
      </c>
      <c r="M238" s="154"/>
      <c r="N238" s="154">
        <f>N239+N240+N241+N242</f>
        <v>214602.33000000002</v>
      </c>
      <c r="O238" s="154">
        <f ca="1">IF(L238&gt;0,N238*100/L238,0)</f>
        <v>73.168199795431292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IFERROR(__xludf.DUMMYFUNCTION("IMPORTRANGE(""https://docs.google.com/spreadsheets/d/1QqKyyYR6Q21VydFLVH3TRQUabQu_ym0Zz7PgGX0-kHA/edit?usp=sharing"",""แผน!AV78"")"),165000)</f>
        <v>165000</v>
      </c>
      <c r="M239" s="308"/>
      <c r="N239" s="803">
        <f>92773.33+9573+1240+4497+11000</f>
        <v>119083.33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IFERROR(__xludf.DUMMYFUNCTION("IMPORTRANGE(""https://docs.google.com/spreadsheets/d/1QqKyyYR6Q21VydFLVH3TRQUabQu_ym0Zz7PgGX0-kHA/edit?usp=sharing"",""แผน!AW78"")"),88300)</f>
        <v>88300</v>
      </c>
      <c r="M240" s="308"/>
      <c r="N240" s="803">
        <v>85539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IFERROR(__xludf.DUMMYFUNCTION("IMPORTRANGE(""https://docs.google.com/spreadsheets/d/1QqKyyYR6Q21VydFLVH3TRQUabQu_ym0Zz7PgGX0-kHA/edit?usp=sharing"",""แผน!AX78"")"),0)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IFERROR(__xludf.DUMMYFUNCTION("IMPORTRANGE(""https://docs.google.com/spreadsheets/d/1QqKyyYR6Q21VydFLVH3TRQUabQu_ym0Zz7PgGX0-kHA/edit?usp=sharing"",""แผน!AY78"")"),40000)</f>
        <v>40000</v>
      </c>
      <c r="M242" s="308"/>
      <c r="N242" s="803">
        <v>9980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IFERROR(__xludf.DUMMYFUNCTION("IMPORTRANGE(""https://docs.google.com/spreadsheets/d/1QqKyyYR6Q21VydFLVH3TRQUabQu_ym0Zz7PgGX0-kHA/edit?usp=sharing"",""แผน!BE78"")"),100)</f>
        <v>100</v>
      </c>
      <c r="J244" s="181">
        <v>110</v>
      </c>
      <c r="K244" s="38">
        <f ca="1">IF(I244&gt;0,J244*100/I244,0)</f>
        <v>110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>
        <v>0</v>
      </c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>
        <v>4</v>
      </c>
      <c r="J247" s="181">
        <v>1</v>
      </c>
      <c r="K247" s="38">
        <f t="shared" si="112"/>
        <v>25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IFERROR(__xludf.DUMMYFUNCTION("IMPORTRANGE(""https://docs.google.com/spreadsheets/d/1QqKyyYR6Q21VydFLVH3TRQUabQu_ym0Zz7PgGX0-kHA/edit?usp=sharing"",""แผน!AZ78"")"),0)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IFERROR(__xludf.DUMMYFUNCTION("IMPORTRANGE(""https://docs.google.com/spreadsheets/d/1QqKyyYR6Q21VydFLVH3TRQUabQu_ym0Zz7PgGX0-kHA/edit?usp=sharing"",""แผน!BA78"")"),0)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IFERROR(__xludf.DUMMYFUNCTION("IMPORTRANGE(""https://docs.google.com/spreadsheets/d/1QqKyyYR6Q21VydFLVH3TRQUabQu_ym0Zz7PgGX0-kHA/edit?usp=sharing"",""แผน!BB78"")"),0)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IFERROR(__xludf.DUMMYFUNCTION("IMPORTRANGE(""https://docs.google.com/spreadsheets/d/1QqKyyYR6Q21VydFLVH3TRQUabQu_ym0Zz7PgGX0-kHA/edit?usp=sharing"",""แผน!BC78"")"),0)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IFERROR(__xludf.DUMMYFUNCTION("IMPORTRANGE(""https://docs.google.com/spreadsheets/d/1QqKyyYR6Q21VydFLVH3TRQUabQu_ym0Zz7PgGX0-kHA/edit?usp=sharing"",""แผน!BF78"")"),0)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26</v>
      </c>
      <c r="J260" s="242">
        <f t="shared" si="115"/>
        <v>0</v>
      </c>
      <c r="K260" s="243">
        <f ca="1">IF(I260&gt;0,J260*100/I260,0)</f>
        <v>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173700</v>
      </c>
      <c r="M261" s="154">
        <f t="shared" ca="1" si="116"/>
        <v>173700</v>
      </c>
      <c r="N261" s="154">
        <f t="shared" ca="1" si="116"/>
        <v>103260.63</v>
      </c>
      <c r="O261" s="154">
        <f t="shared" ref="O261:O269" ca="1" si="117">IF(L261&gt;0,N261*100/L261,0)</f>
        <v>59.447685664939549</v>
      </c>
      <c r="P261" s="154">
        <f t="shared" ref="P261:P269" ca="1" si="118">IF(M261&gt;0,N261*100/M261,0)</f>
        <v>59.447685664939549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173700</v>
      </c>
      <c r="M263" s="45">
        <f t="shared" ca="1" si="119"/>
        <v>173700</v>
      </c>
      <c r="N263" s="45">
        <f t="shared" ca="1" si="119"/>
        <v>103260.63</v>
      </c>
      <c r="O263" s="45">
        <f t="shared" ca="1" si="117"/>
        <v>59.447685664939549</v>
      </c>
      <c r="P263" s="45">
        <f t="shared" ca="1" si="118"/>
        <v>59.447685664939549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173700</v>
      </c>
      <c r="M264" s="38">
        <f t="shared" ca="1" si="120"/>
        <v>173700</v>
      </c>
      <c r="N264" s="38">
        <f t="shared" ca="1" si="120"/>
        <v>103260.63</v>
      </c>
      <c r="O264" s="38">
        <f t="shared" ca="1" si="117"/>
        <v>59.447685664939549</v>
      </c>
      <c r="P264" s="38">
        <f t="shared" ca="1" si="118"/>
        <v>59.447685664939549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IFERROR(__xludf.DUMMYFUNCTION("IMPORTRANGE(""https://docs.google.com/spreadsheets/d/1MeEWN-I1oV_STSDYn1IFDPWt_1FKiwhDph83XaGc0o0/edit?usp=sharing"",""งบพรบ!CY78"")"),173700)</f>
        <v>173700</v>
      </c>
      <c r="M266" s="45">
        <f ca="1">IFERROR(__xludf.DUMMYFUNCTION("IMPORTRANGE(""https://docs.google.com/spreadsheets/d/1MeEWN-I1oV_STSDYn1IFDPWt_1FKiwhDph83XaGc0o0/edit?usp=sharing"",""งบพรบ!DD78"")"),173700)</f>
        <v>173700</v>
      </c>
      <c r="N266" s="45">
        <f ca="1">IFERROR(__xludf.DUMMYFUNCTION("IMPORTRANGE(""https://docs.google.com/spreadsheets/d/1MeEWN-I1oV_STSDYn1IFDPWt_1FKiwhDph83XaGc0o0/edit?usp=sharing"",""งบพรบ!DF78"")"),103260.63)</f>
        <v>103260.63</v>
      </c>
      <c r="O266" s="45">
        <f t="shared" ca="1" si="117"/>
        <v>59.447685664939549</v>
      </c>
      <c r="P266" s="45">
        <f t="shared" ca="1" si="118"/>
        <v>59.447685664939549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IFERROR(__xludf.DUMMYFUNCTION("IMPORTRANGE(""https://docs.google.com/spreadsheets/d/1MeEWN-I1oV_STSDYn1IFDPWt_1FKiwhDph83XaGc0o0/edit?usp=sharing"",""งบพรบ!DB78"")"),0)</f>
        <v>0</v>
      </c>
      <c r="M269" s="45">
        <f ca="1">IFERROR(__xludf.DUMMYFUNCTION("IMPORTRANGE(""https://docs.google.com/spreadsheets/d/1MeEWN-I1oV_STSDYn1IFDPWt_1FKiwhDph83XaGc0o0/edit?usp=sharing"",""งบพรบ!DE78"")"),0)</f>
        <v>0</v>
      </c>
      <c r="N269" s="45">
        <f ca="1">IFERROR(__xludf.DUMMYFUNCTION("IMPORTRANGE(""https://docs.google.com/spreadsheets/d/1MeEWN-I1oV_STSDYn1IFDPWt_1FKiwhDph83XaGc0o0/edit?usp=sharing"",""งบพรบ!DG78"")"),0)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IFERROR(__xludf.DUMMYFUNCTION("IMPORTRANGE(""https://docs.google.com/spreadsheets/d/1QqKyyYR6Q21VydFLVH3TRQUabQu_ym0Zz7PgGX0-kHA/edit?usp=sharing"",""แผน!EA78"")"),26)</f>
        <v>26</v>
      </c>
      <c r="J271" s="181">
        <v>0</v>
      </c>
      <c r="K271" s="162">
        <f ca="1">IF(I271&gt;0,J271*100/I271,0)</f>
        <v>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4">I287</f>
        <v>0</v>
      </c>
      <c r="J276" s="39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IFERROR(__xludf.DUMMYFUNCTION("IMPORTRANGE(""https://docs.google.com/spreadsheets/d/1MeEWN-I1oV_STSDYn1IFDPWt_1FKiwhDph83XaGc0o0/edit?usp=sharing"",""งบพรบ!DI78"")"),0)</f>
        <v>0</v>
      </c>
      <c r="M282" s="45">
        <f ca="1">IFERROR(__xludf.DUMMYFUNCTION("IMPORTRANGE(""https://docs.google.com/spreadsheets/d/1MeEWN-I1oV_STSDYn1IFDPWt_1FKiwhDph83XaGc0o0/edit?usp=sharing"",""งบพรบ!DN78"")"),0)</f>
        <v>0</v>
      </c>
      <c r="N282" s="45">
        <f ca="1">IFERROR(__xludf.DUMMYFUNCTION("IMPORTRANGE(""https://docs.google.com/spreadsheets/d/1MeEWN-I1oV_STSDYn1IFDPWt_1FKiwhDph83XaGc0o0/edit?usp=sharing"",""งบพรบ!DP78"")"),0)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IFERROR(__xludf.DUMMYFUNCTION("IMPORTRANGE(""https://docs.google.com/spreadsheets/d/1MeEWN-I1oV_STSDYn1IFDPWt_1FKiwhDph83XaGc0o0/edit?usp=sharing"",""งบพรบ!DL78"")"),0)</f>
        <v>0</v>
      </c>
      <c r="M285" s="45">
        <f ca="1">IFERROR(__xludf.DUMMYFUNCTION("IMPORTRANGE(""https://docs.google.com/spreadsheets/d/1MeEWN-I1oV_STSDYn1IFDPWt_1FKiwhDph83XaGc0o0/edit?usp=sharing"",""งบพรบ!DO78"")"),0)</f>
        <v>0</v>
      </c>
      <c r="N285" s="45">
        <f ca="1">IFERROR(__xludf.DUMMYFUNCTION("IMPORTRANGE(""https://docs.google.com/spreadsheets/d/1MeEWN-I1oV_STSDYn1IFDPWt_1FKiwhDph83XaGc0o0/edit?usp=sharing"",""งบพรบ!DQ78"")"),0)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IFERROR(__xludf.DUMMYFUNCTION("IMPORTRANGE(""https://docs.google.com/spreadsheets/d/1QqKyyYR6Q21VydFLVH3TRQUabQu_ym0Zz7PgGX0-kHA/edit?usp=sharing"",""แผน!EC78"")"),0)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IFERROR(__xludf.DUMMYFUNCTION("IMPORTRANGE(""https://docs.google.com/spreadsheets/d/1QqKyyYR6Q21VydFLVH3TRQUabQu_ym0Zz7PgGX0-kHA/edit?usp=sharing"",""แผน!EB78"")"),0)</f>
        <v>0</v>
      </c>
      <c r="J288" s="190">
        <f ca="1">IF(AND(J291&gt;=I288,J294&gt;=I288),J294,0)</f>
        <v>0</v>
      </c>
      <c r="K288" s="391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IFERROR(__xludf.DUMMYFUNCTION("IMPORTRANGE(""https://docs.google.com/spreadsheets/d/1QqKyyYR6Q21VydFLVH3TRQUabQu_ym0Zz7PgGX0-kHA/edit?usp=sharing"",""แผน!EB78"")"),0)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337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IFERROR(__xludf.DUMMYFUNCTION("IMPORTRANGE(""https://docs.google.com/spreadsheets/d/1QqKyyYR6Q21VydFLVH3TRQUabQu_ym0Zz7PgGX0-kHA/edit?usp=sharing"",""แผน!EB78"")"),0)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IFERROR(__xludf.DUMMYFUNCTION("IMPORTRANGE(""https://docs.google.com/spreadsheets/d/1QqKyyYR6Q21VydFLVH3TRQUabQu_ym0Zz7PgGX0-kHA/edit?usp=sharing"",""แผน!EB78"")"),0)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9" t="s">
        <v>337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IFERROR(__xludf.DUMMYFUNCTION("IMPORTRANGE(""https://docs.google.com/spreadsheets/d/1QqKyyYR6Q21VydFLVH3TRQUabQu_ym0Zz7PgGX0-kHA/edit?usp=sharing"",""แผน!EB78"")"),0)</f>
        <v>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20</v>
      </c>
      <c r="J297" s="421">
        <f t="shared" si="134"/>
        <v>20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100400</v>
      </c>
      <c r="N298" s="154">
        <f t="shared" ca="1" si="135"/>
        <v>75702</v>
      </c>
      <c r="O298" s="154">
        <f t="shared" ref="O298:O306" ca="1" si="136">IF(L298&gt;0,N298*100/L298,0)</f>
        <v>91.871359223300971</v>
      </c>
      <c r="P298" s="154">
        <f t="shared" ref="P298:P306" ca="1" si="137">IF(M298&gt;0,N298*100/M298,0)</f>
        <v>75.400398406374507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100400</v>
      </c>
      <c r="N300" s="45">
        <f t="shared" ca="1" si="138"/>
        <v>75702</v>
      </c>
      <c r="O300" s="45">
        <f t="shared" ca="1" si="136"/>
        <v>91.871359223300971</v>
      </c>
      <c r="P300" s="45">
        <f t="shared" ca="1" si="137"/>
        <v>75.400398406374507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100400</v>
      </c>
      <c r="N301" s="38">
        <f t="shared" ca="1" si="139"/>
        <v>75702</v>
      </c>
      <c r="O301" s="38">
        <f t="shared" ca="1" si="136"/>
        <v>91.871359223300971</v>
      </c>
      <c r="P301" s="38">
        <f t="shared" ca="1" si="137"/>
        <v>75.400398406374507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IFERROR(__xludf.DUMMYFUNCTION("IMPORTRANGE(""https://docs.google.com/spreadsheets/d/1MeEWN-I1oV_STSDYn1IFDPWt_1FKiwhDph83XaGc0o0/edit?usp=sharing"",""งบพรบ!DS78"")"),82400)</f>
        <v>82400</v>
      </c>
      <c r="M303" s="45">
        <f ca="1">IFERROR(__xludf.DUMMYFUNCTION("IMPORTRANGE(""https://docs.google.com/spreadsheets/d/1MeEWN-I1oV_STSDYn1IFDPWt_1FKiwhDph83XaGc0o0/edit?usp=sharing"",""งบพรบ!DX78"")"),100400)</f>
        <v>100400</v>
      </c>
      <c r="N303" s="45">
        <f ca="1">IFERROR(__xludf.DUMMYFUNCTION("IMPORTRANGE(""https://docs.google.com/spreadsheets/d/1MeEWN-I1oV_STSDYn1IFDPWt_1FKiwhDph83XaGc0o0/edit?usp=sharing"",""งบพรบ!DZ78"")"),75702)</f>
        <v>75702</v>
      </c>
      <c r="O303" s="45">
        <f t="shared" ca="1" si="136"/>
        <v>91.871359223300971</v>
      </c>
      <c r="P303" s="45">
        <f t="shared" ca="1" si="137"/>
        <v>75.400398406374507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IFERROR(__xludf.DUMMYFUNCTION("IMPORTRANGE(""https://docs.google.com/spreadsheets/d/1MeEWN-I1oV_STSDYn1IFDPWt_1FKiwhDph83XaGc0o0/edit?usp=sharing"",""งบพรบ!DV78"")"),0)</f>
        <v>0</v>
      </c>
      <c r="M306" s="45">
        <f ca="1">IFERROR(__xludf.DUMMYFUNCTION("IMPORTRANGE(""https://docs.google.com/spreadsheets/d/1MeEWN-I1oV_STSDYn1IFDPWt_1FKiwhDph83XaGc0o0/edit?usp=sharing"",""งบพรบ!DY78"")"),0)</f>
        <v>0</v>
      </c>
      <c r="N306" s="45">
        <f ca="1">IFERROR(__xludf.DUMMYFUNCTION("IMPORTRANGE(""https://docs.google.com/spreadsheets/d/1MeEWN-I1oV_STSDYn1IFDPWt_1FKiwhDph83XaGc0o0/edit?usp=sharing"",""งบพรบ!EA78"")"),0)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IFERROR(__xludf.DUMMYFUNCTION("IMPORTRANGE(""https://docs.google.com/spreadsheets/d/1QqKyyYR6Q21VydFLVH3TRQUabQu_ym0Zz7PgGX0-kHA/edit?usp=sharing"",""แผน!ED78"")"),20)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IFERROR(__xludf.DUMMYFUNCTION("IMPORTRANGE(""https://docs.google.com/spreadsheets/d/1QqKyyYR6Q21VydFLVH3TRQUabQu_ym0Zz7PgGX0-kHA/edit?usp=sharing"",""แผน!ED78"")"),20)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IFERROR(__xludf.DUMMYFUNCTION("IMPORTRANGE(""https://docs.google.com/spreadsheets/d/1QqKyyYR6Q21VydFLVH3TRQUabQu_ym0Zz7PgGX0-kHA/edit?usp=sharing"",""แผน!ED78"")"),20)</f>
        <v>20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IFERROR(__xludf.DUMMYFUNCTION("IMPORTRANGE(""https://docs.google.com/spreadsheets/d/1QqKyyYR6Q21VydFLVH3TRQUabQu_ym0Zz7PgGX0-kHA/edit?usp=sharing"",""แผน!EE78"")"),4)</f>
        <v>4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IFERROR(__xludf.DUMMYFUNCTION("IMPORTRANGE(""https://docs.google.com/spreadsheets/d/1MeEWN-I1oV_STSDYn1IFDPWt_1FKiwhDph83XaGc0o0/edit?usp=sharing"",""งบพรบ!EC78"")"),0)</f>
        <v>0</v>
      </c>
      <c r="M320" s="45">
        <f ca="1">IFERROR(__xludf.DUMMYFUNCTION("IMPORTRANGE(""https://docs.google.com/spreadsheets/d/1MeEWN-I1oV_STSDYn1IFDPWt_1FKiwhDph83XaGc0o0/edit?usp=sharing"",""งบพรบ!EH78"")"),0)</f>
        <v>0</v>
      </c>
      <c r="N320" s="45">
        <f ca="1">IFERROR(__xludf.DUMMYFUNCTION("IMPORTRANGE(""https://docs.google.com/spreadsheets/d/1MeEWN-I1oV_STSDYn1IFDPWt_1FKiwhDph83XaGc0o0/edit?usp=sharing"",""งบพรบ!EJ78"")"),0)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IFERROR(__xludf.DUMMYFUNCTION("IMPORTRANGE(""https://docs.google.com/spreadsheets/d/1MeEWN-I1oV_STSDYn1IFDPWt_1FKiwhDph83XaGc0o0/edit?usp=sharing"",""งบพรบ!EF78"")"),0)</f>
        <v>0</v>
      </c>
      <c r="M323" s="45">
        <f ca="1">IFERROR(__xludf.DUMMYFUNCTION("IMPORTRANGE(""https://docs.google.com/spreadsheets/d/1MeEWN-I1oV_STSDYn1IFDPWt_1FKiwhDph83XaGc0o0/edit?usp=sharing"",""งบพรบ!EI78"")"),0)</f>
        <v>0</v>
      </c>
      <c r="N323" s="45">
        <f ca="1">IFERROR(__xludf.DUMMYFUNCTION("IMPORTRANGE(""https://docs.google.com/spreadsheets/d/1MeEWN-I1oV_STSDYn1IFDPWt_1FKiwhDph83XaGc0o0/edit?usp=sharing"",""งบพรบ!EK78"")"),0)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IFERROR(__xludf.DUMMYFUNCTION("IMPORTRANGE(""https://docs.google.com/spreadsheets/d/1QqKyyYR6Q21VydFLVH3TRQUabQu_ym0Zz7PgGX0-kHA/edit?usp=sharing"",""แผน!EF78"")"),0)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IFERROR(__xludf.DUMMYFUNCTION("IMPORTRANGE(""https://docs.google.com/spreadsheets/d/1QqKyyYR6Q21VydFLVH3TRQUabQu_ym0Zz7PgGX0-kHA/edit?usp=sharing"",""แผน!EG78"")"),1600)</f>
        <v>1600</v>
      </c>
      <c r="J327" s="421">
        <f ca="1">J338+J341+J342+J343</f>
        <v>3226</v>
      </c>
      <c r="K327" s="422">
        <f ca="1">IF(I327&gt;0,J327*100/I327,0)</f>
        <v>201.625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174000</v>
      </c>
      <c r="M328" s="154">
        <f t="shared" ca="1" si="149"/>
        <v>176500</v>
      </c>
      <c r="N328" s="154">
        <f t="shared" ca="1" si="149"/>
        <v>141055.32</v>
      </c>
      <c r="O328" s="154">
        <f t="shared" ref="O328:O336" ca="1" si="150">IF(L328&gt;0,N328*100/L328,0)</f>
        <v>81.066275862068963</v>
      </c>
      <c r="P328" s="154">
        <f t="shared" ref="P328:P336" ca="1" si="151">IF(M328&gt;0,N328*100/M328,0)</f>
        <v>79.918028328611896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174000</v>
      </c>
      <c r="M330" s="45">
        <f t="shared" ca="1" si="152"/>
        <v>176500</v>
      </c>
      <c r="N330" s="45">
        <f t="shared" ca="1" si="152"/>
        <v>141055.32</v>
      </c>
      <c r="O330" s="45">
        <f t="shared" ca="1" si="150"/>
        <v>81.066275862068963</v>
      </c>
      <c r="P330" s="45">
        <f t="shared" ca="1" si="151"/>
        <v>79.918028328611896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174000</v>
      </c>
      <c r="M331" s="38">
        <f t="shared" ca="1" si="153"/>
        <v>176500</v>
      </c>
      <c r="N331" s="38">
        <f t="shared" ca="1" si="153"/>
        <v>141055.32</v>
      </c>
      <c r="O331" s="38">
        <f t="shared" ca="1" si="150"/>
        <v>81.066275862068963</v>
      </c>
      <c r="P331" s="38">
        <f t="shared" ca="1" si="151"/>
        <v>79.918028328611896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IFERROR(__xludf.DUMMYFUNCTION("IMPORTRANGE(""https://docs.google.com/spreadsheets/d/1MeEWN-I1oV_STSDYn1IFDPWt_1FKiwhDph83XaGc0o0/edit?usp=sharing"",""งบพรบ!EM78"")"),174000)</f>
        <v>174000</v>
      </c>
      <c r="M333" s="45">
        <f ca="1">IFERROR(__xludf.DUMMYFUNCTION("IMPORTRANGE(""https://docs.google.com/spreadsheets/d/1MeEWN-I1oV_STSDYn1IFDPWt_1FKiwhDph83XaGc0o0/edit?usp=sharing"",""งบพรบ!ER78"")"),176500)</f>
        <v>176500</v>
      </c>
      <c r="N333" s="45">
        <f ca="1">IFERROR(__xludf.DUMMYFUNCTION("IMPORTRANGE(""https://docs.google.com/spreadsheets/d/1MeEWN-I1oV_STSDYn1IFDPWt_1FKiwhDph83XaGc0o0/edit?usp=sharing"",""งบพรบ!ET78"")"),141055.32)</f>
        <v>141055.32</v>
      </c>
      <c r="O333" s="45">
        <f t="shared" ca="1" si="150"/>
        <v>81.066275862068963</v>
      </c>
      <c r="P333" s="45">
        <f t="shared" ca="1" si="151"/>
        <v>79.918028328611896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IFERROR(__xludf.DUMMYFUNCTION("IMPORTRANGE(""https://docs.google.com/spreadsheets/d/1MeEWN-I1oV_STSDYn1IFDPWt_1FKiwhDph83XaGc0o0/edit?usp=sharing"",""งบพรบ!EP78"")"),0)</f>
        <v>0</v>
      </c>
      <c r="M336" s="45">
        <f ca="1">IFERROR(__xludf.DUMMYFUNCTION("IMPORTRANGE(""https://docs.google.com/spreadsheets/d/1MeEWN-I1oV_STSDYn1IFDPWt_1FKiwhDph83XaGc0o0/edit?usp=sharing"",""งบพรบ!ES78"")"),0)</f>
        <v>0</v>
      </c>
      <c r="N336" s="45">
        <f ca="1">IFERROR(__xludf.DUMMYFUNCTION("IMPORTRANGE(""https://docs.google.com/spreadsheets/d/1MeEWN-I1oV_STSDYn1IFDPWt_1FKiwhDph83XaGc0o0/edit?usp=sharing"",""งบพรบ!EU78"")"),0)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IFERROR(__xludf.DUMMYFUNCTION("IMPORTRANGE(""https://docs.google.com/spreadsheets/d/1QqKyyYR6Q21VydFLVH3TRQUabQu_ym0Zz7PgGX0-kHA/edit?usp=sharing"",""แผน!EG78"")"),1600)</f>
        <v>1600</v>
      </c>
      <c r="J338" s="37">
        <f ca="1">IFERROR(__xludf.DUMMYFUNCTION("IMPORTRANGE(""https://docs.google.com/spreadsheets/d/1kVcqe37tkHyjCSG3S0O1AXqVkqjo8mSIZil3BcpIysc/edit?usp=sharing"",""ศูนย์!D78"")"),2979)</f>
        <v>2979</v>
      </c>
      <c r="K338" s="38">
        <f ca="1">IF(I338&gt;0,J338*100/I338,0)</f>
        <v>186.1875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IFERROR(__xludf.DUMMYFUNCTION("IMPORTRANGE(""https://docs.google.com/spreadsheets/d/1QqKyyYR6Q21VydFLVH3TRQUabQu_ym0Zz7PgGX0-kHA/edit?usp=sharing"",""แผน!EH78"")"),8)</f>
        <v>8</v>
      </c>
      <c r="J340" s="37">
        <f ca="1">IFERROR(__xludf.DUMMYFUNCTION("IMPORTRANGE(""https://docs.google.com/spreadsheets/d/1kVcqe37tkHyjCSG3S0O1AXqVkqjo8mSIZil3BcpIysc/edit?usp=sharing"",""ศูนย์!E78"")"),8)</f>
        <v>8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IFERROR(__xludf.DUMMYFUNCTION("IMPORTRANGE(""https://docs.google.com/spreadsheets/d/1kVcqe37tkHyjCSG3S0O1AXqVkqjo8mSIZil3BcpIysc/edit?usp=sharing"",""ศูนย์!F78"")"),247)</f>
        <v>247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IFERROR(__xludf.DUMMYFUNCTION("IMPORTRANGE(""https://docs.google.com/spreadsheets/d/1kVcqe37tkHyjCSG3S0O1AXqVkqjo8mSIZil3BcpIysc/edit?usp=sharing"",""ศูนย์!G78"")"),0)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IFERROR(__xludf.DUMMYFUNCTION("IMPORTRANGE(""https://docs.google.com/spreadsheets/d/1kVcqe37tkHyjCSG3S0O1AXqVkqjo8mSIZil3BcpIysc/edit?usp=sharing"",""ศูนย์!H78"")"),0)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695090</v>
      </c>
      <c r="M345" s="154">
        <f t="shared" ca="1" si="155"/>
        <v>905290</v>
      </c>
      <c r="N345" s="154">
        <f t="shared" ca="1" si="155"/>
        <v>668673.55000000005</v>
      </c>
      <c r="O345" s="154">
        <f t="shared" ref="O345:O353" ca="1" si="156">IF(L345&gt;0,N345*100/L345,0)</f>
        <v>96.199564085226385</v>
      </c>
      <c r="P345" s="154">
        <f t="shared" ref="P345:P353" ca="1" si="157">IF(M345&gt;0,N345*100/M345,0)</f>
        <v>73.862911332280277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695090</v>
      </c>
      <c r="M347" s="45">
        <f t="shared" ca="1" si="158"/>
        <v>905290</v>
      </c>
      <c r="N347" s="45">
        <f t="shared" ca="1" si="158"/>
        <v>668673.55000000005</v>
      </c>
      <c r="O347" s="45">
        <f t="shared" ca="1" si="156"/>
        <v>96.199564085226385</v>
      </c>
      <c r="P347" s="45">
        <f t="shared" ca="1" si="157"/>
        <v>73.862911332280277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619090</v>
      </c>
      <c r="M348" s="38">
        <f t="shared" ca="1" si="159"/>
        <v>830290</v>
      </c>
      <c r="N348" s="38">
        <f t="shared" ca="1" si="159"/>
        <v>593673.55000000005</v>
      </c>
      <c r="O348" s="38">
        <f t="shared" ca="1" si="156"/>
        <v>95.894546834870553</v>
      </c>
      <c r="P348" s="38">
        <f t="shared" ca="1" si="157"/>
        <v>71.501951125510374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IFERROR(__xludf.DUMMYFUNCTION("IMPORTRANGE(""https://docs.google.com/spreadsheets/d/1MeEWN-I1oV_STSDYn1IFDPWt_1FKiwhDph83XaGc0o0/edit?usp=sharing"",""งบพรบ!EW78"")"),619090)</f>
        <v>619090</v>
      </c>
      <c r="M350" s="45">
        <f ca="1">IFERROR(__xludf.DUMMYFUNCTION("IMPORTRANGE(""https://docs.google.com/spreadsheets/d/1MeEWN-I1oV_STSDYn1IFDPWt_1FKiwhDph83XaGc0o0/edit?usp=sharing"",""งบพรบ!FB78"")"),830290)</f>
        <v>830290</v>
      </c>
      <c r="N350" s="45">
        <f ca="1">IFERROR(__xludf.DUMMYFUNCTION("IMPORTRANGE(""https://docs.google.com/spreadsheets/d/1MeEWN-I1oV_STSDYn1IFDPWt_1FKiwhDph83XaGc0o0/edit?usp=sharing"",""งบพรบ!FD78"")"),593673.55)</f>
        <v>593673.55000000005</v>
      </c>
      <c r="O350" s="45">
        <f t="shared" ca="1" si="156"/>
        <v>95.894546834870553</v>
      </c>
      <c r="P350" s="45">
        <f t="shared" ca="1" si="157"/>
        <v>71.501951125510374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76000</v>
      </c>
      <c r="M351" s="38">
        <f t="shared" ca="1" si="160"/>
        <v>75000</v>
      </c>
      <c r="N351" s="38">
        <f t="shared" ca="1" si="160"/>
        <v>75000</v>
      </c>
      <c r="O351" s="38">
        <f t="shared" ca="1" si="156"/>
        <v>98.684210526315795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IFERROR(__xludf.DUMMYFUNCTION("IMPORTRANGE(""https://docs.google.com/spreadsheets/d/1MeEWN-I1oV_STSDYn1IFDPWt_1FKiwhDph83XaGc0o0/edit?usp=sharing"",""งบพรบ!EZ78"")"),76000)</f>
        <v>76000</v>
      </c>
      <c r="M353" s="45">
        <f ca="1">IFERROR(__xludf.DUMMYFUNCTION("IMPORTRANGE(""https://docs.google.com/spreadsheets/d/1MeEWN-I1oV_STSDYn1IFDPWt_1FKiwhDph83XaGc0o0/edit?usp=sharing"",""งบพรบ!FC78"")"),75000)</f>
        <v>75000</v>
      </c>
      <c r="N353" s="45">
        <f ca="1">IFERROR(__xludf.DUMMYFUNCTION("IMPORTRANGE(""https://docs.google.com/spreadsheets/d/1MeEWN-I1oV_STSDYn1IFDPWt_1FKiwhDph83XaGc0o0/edit?usp=sharing"",""งบพรบ!FE78"")"),75000)</f>
        <v>75000</v>
      </c>
      <c r="O353" s="45">
        <f t="shared" ca="1" si="156"/>
        <v>98.684210526315795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IFERROR(__xludf.DUMMYFUNCTION("IMPORTRANGE(""https://docs.google.com/spreadsheets/d/1QqKyyYR6Q21VydFLVH3TRQUabQu_ym0Zz7PgGX0-kHA/edit?usp=sharing"",""แผน!EP78"")"),250)</f>
        <v>250</v>
      </c>
      <c r="J355" s="438">
        <f ca="1">J362</f>
        <v>146</v>
      </c>
      <c r="K355" s="439">
        <f ca="1">IF(I355&gt;0,J355*100/I355,0)</f>
        <v>58.4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IFERROR(__xludf.DUMMYFUNCTION("IMPORTRANGE(""https://docs.google.com/spreadsheets/d/1XWAQStnk-4SwqDmLtmXYiTMKHgktTP8We1SCoS47DrQ/edit?usp=sharing"",""จัดที่ดิน!W78"")"),309)</f>
        <v>309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IFERROR(__xludf.DUMMYFUNCTION("IMPORTRANGE(""https://docs.google.com/spreadsheets/d/1QqKyyYR6Q21VydFLVH3TRQUabQu_ym0Zz7PgGX0-kHA/edit?usp=sharing"",""แผน!EO78"")"),3020)</f>
        <v>3020</v>
      </c>
      <c r="J359" s="37">
        <f ca="1">IFERROR(__xludf.DUMMYFUNCTION("IMPORTRANGE(""https://docs.google.com/spreadsheets/d/1XWAQStnk-4SwqDmLtmXYiTMKHgktTP8We1SCoS47DrQ/edit?usp=sharing"",""จัดที่ดิน!X78"")"),2050.54)</f>
        <v>2050.54</v>
      </c>
      <c r="K359" s="38">
        <f t="shared" ca="1" si="161"/>
        <v>67.898675496688739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IFERROR(__xludf.DUMMYFUNCTION("IMPORTRANGE(""https://docs.google.com/spreadsheets/d/1QqKyyYR6Q21VydFLVH3TRQUabQu_ym0Zz7PgGX0-kHA/edit?usp=sharing"",""แผน!EP78"")"),250)</f>
        <v>250</v>
      </c>
      <c r="J360" s="37">
        <f ca="1">IFERROR(__xludf.DUMMYFUNCTION("IMPORTRANGE(""https://docs.google.com/spreadsheets/d/1XWAQStnk-4SwqDmLtmXYiTMKHgktTP8We1SCoS47DrQ/edit?usp=sharing"",""จัดที่ดิน!Y78"")"),297)</f>
        <v>297</v>
      </c>
      <c r="K360" s="38">
        <f t="shared" ca="1" si="161"/>
        <v>118.8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IFERROR(__xludf.DUMMYFUNCTION("IMPORTRANGE(""https://docs.google.com/spreadsheets/d/1XWAQStnk-4SwqDmLtmXYiTMKHgktTP8We1SCoS47DrQ/edit?usp=sharing"",""จัดที่ดิน!Z78"")"),2014.99)</f>
        <v>2014.99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IFERROR(__xludf.DUMMYFUNCTION("IMPORTRANGE(""https://docs.google.com/spreadsheets/d/1QqKyyYR6Q21VydFLVH3TRQUabQu_ym0Zz7PgGX0-kHA/edit?usp=sharing"",""แผน!EP78"")"),250)</f>
        <v>250</v>
      </c>
      <c r="J362" s="37">
        <f ca="1">IFERROR(__xludf.DUMMYFUNCTION("IMPORTRANGE(""https://docs.google.com/spreadsheets/d/1XWAQStnk-4SwqDmLtmXYiTMKHgktTP8We1SCoS47DrQ/edit?usp=sharing"",""จัดที่ดิน!AA78"")"),146)</f>
        <v>146</v>
      </c>
      <c r="K362" s="38">
        <f t="shared" ca="1" si="161"/>
        <v>58.4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IFERROR(__xludf.DUMMYFUNCTION("IMPORTRANGE(""https://docs.google.com/spreadsheets/d/1XWAQStnk-4SwqDmLtmXYiTMKHgktTP8We1SCoS47DrQ/edit?usp=sharing"",""จัดที่ดิน!AB78"")"),1077.02)</f>
        <v>1077.02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950</v>
      </c>
      <c r="J364" s="452">
        <f t="shared" ca="1" si="162"/>
        <v>471</v>
      </c>
      <c r="K364" s="453">
        <f t="shared" ca="1" si="161"/>
        <v>49.578947368421055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IFERROR(__xludf.DUMMYFUNCTION("IMPORTRANGE(""https://docs.google.com/spreadsheets/d/1QqKyyYR6Q21VydFLVH3TRQUabQu_ym0Zz7PgGX0-kHA/edit?usp=sharing"",""แผน!EJ78"")"),150)</f>
        <v>150</v>
      </c>
      <c r="J365" s="462">
        <f ca="1">J372</f>
        <v>141</v>
      </c>
      <c r="K365" s="463">
        <f t="shared" ca="1" si="161"/>
        <v>94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IFERROR(__xludf.DUMMYFUNCTION("IMPORTRANGE(""https://docs.google.com/spreadsheets/d/1XWAQStnk-4SwqDmLtmXYiTMKHgktTP8We1SCoS47DrQ/edit?usp=sharing"",""จัดที่ดิน!E78"")"),174)</f>
        <v>174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IFERROR(__xludf.DUMMYFUNCTION("IMPORTRANGE(""https://docs.google.com/spreadsheets/d/1QqKyyYR6Q21VydFLVH3TRQUabQu_ym0Zz7PgGX0-kHA/edit?usp=sharing"",""แผน!EI78"")"),1520)</f>
        <v>1520</v>
      </c>
      <c r="J369" s="37">
        <f ca="1">IFERROR(__xludf.DUMMYFUNCTION("IMPORTRANGE(""https://docs.google.com/spreadsheets/d/1XWAQStnk-4SwqDmLtmXYiTMKHgktTP8We1SCoS47DrQ/edit?usp=sharing"",""จัดที่ดิน!F78"")"),1235.82)</f>
        <v>1235.82</v>
      </c>
      <c r="K369" s="38">
        <f t="shared" ca="1" si="163"/>
        <v>81.303947368421049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IFERROR(__xludf.DUMMYFUNCTION("IMPORTRANGE(""https://docs.google.com/spreadsheets/d/1QqKyyYR6Q21VydFLVH3TRQUabQu_ym0Zz7PgGX0-kHA/edit?usp=sharing"",""แผน!EJ78"")"),150)</f>
        <v>150</v>
      </c>
      <c r="J370" s="37">
        <f ca="1">IFERROR(__xludf.DUMMYFUNCTION("IMPORTRANGE(""https://docs.google.com/spreadsheets/d/1XWAQStnk-4SwqDmLtmXYiTMKHgktTP8We1SCoS47DrQ/edit?usp=sharing"",""จัดที่ดิน!G78"")"),182)</f>
        <v>182</v>
      </c>
      <c r="K370" s="38">
        <f t="shared" ca="1" si="163"/>
        <v>121.33333333333333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IFERROR(__xludf.DUMMYFUNCTION("IMPORTRANGE(""https://docs.google.com/spreadsheets/d/1XWAQStnk-4SwqDmLtmXYiTMKHgktTP8We1SCoS47DrQ/edit?usp=sharing"",""จัดที่ดิน!H78"")"),1328.42)</f>
        <v>1328.42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IFERROR(__xludf.DUMMYFUNCTION("IMPORTRANGE(""https://docs.google.com/spreadsheets/d/1QqKyyYR6Q21VydFLVH3TRQUabQu_ym0Zz7PgGX0-kHA/edit?usp=sharing"",""แผน!EJ78"")"),150)</f>
        <v>150</v>
      </c>
      <c r="J372" s="37">
        <f ca="1">IFERROR(__xludf.DUMMYFUNCTION("IMPORTRANGE(""https://docs.google.com/spreadsheets/d/1XWAQStnk-4SwqDmLtmXYiTMKHgktTP8We1SCoS47DrQ/edit?usp=sharing"",""จัดที่ดิน!I78"")"),141)</f>
        <v>141</v>
      </c>
      <c r="K372" s="38">
        <f t="shared" ca="1" si="163"/>
        <v>94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IFERROR(__xludf.DUMMYFUNCTION("IMPORTRANGE(""https://docs.google.com/spreadsheets/d/1XWAQStnk-4SwqDmLtmXYiTMKHgktTP8We1SCoS47DrQ/edit?usp=sharing"",""จัดที่ดิน!J78"")"),1044.33)</f>
        <v>1044.33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IFERROR(__xludf.DUMMYFUNCTION("IMPORTRANGE(""https://docs.google.com/spreadsheets/d/1QqKyyYR6Q21VydFLVH3TRQUabQu_ym0Zz7PgGX0-kHA/edit?usp=sharing"",""แผน!EU78"")"),800)</f>
        <v>800</v>
      </c>
      <c r="J374" s="462">
        <f ca="1">J381</f>
        <v>330</v>
      </c>
      <c r="K374" s="463">
        <f t="shared" ca="1" si="163"/>
        <v>41.25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IFERROR(__xludf.DUMMYFUNCTION("IMPORTRANGE(""https://docs.google.com/spreadsheets/d/1XWAQStnk-4SwqDmLtmXYiTMKHgktTP8We1SCoS47DrQ/edit?usp=sharing"",""จัดที่ดิน!AH78"")"),135)</f>
        <v>135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IFERROR(__xludf.DUMMYFUNCTION("IMPORTRANGE(""https://docs.google.com/spreadsheets/d/1QqKyyYR6Q21VydFLVH3TRQUabQu_ym0Zz7PgGX0-kHA/edit?usp=sharing"",""แผน!ET78"")"),1500)</f>
        <v>1500</v>
      </c>
      <c r="J378" s="37">
        <f ca="1">IFERROR(__xludf.DUMMYFUNCTION("IMPORTRANGE(""https://docs.google.com/spreadsheets/d/1XWAQStnk-4SwqDmLtmXYiTMKHgktTP8We1SCoS47DrQ/edit?usp=sharing"",""จัดที่ดิน!AI78"")"),814.72)</f>
        <v>814.72</v>
      </c>
      <c r="K378" s="38">
        <f t="shared" ca="1" si="164"/>
        <v>54.314666666666668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IFERROR(__xludf.DUMMYFUNCTION("IMPORTRANGE(""https://docs.google.com/spreadsheets/d/1QqKyyYR6Q21VydFLVH3TRQUabQu_ym0Zz7PgGX0-kHA/edit?usp=sharing"",""แผน!EU78"")"),800)</f>
        <v>800</v>
      </c>
      <c r="J379" s="37">
        <f ca="1">IFERROR(__xludf.DUMMYFUNCTION("IMPORTRANGE(""https://docs.google.com/spreadsheets/d/1XWAQStnk-4SwqDmLtmXYiTMKHgktTP8We1SCoS47DrQ/edit?usp=sharing"",""จัดที่ดิน!AJ78"")"),440)</f>
        <v>440</v>
      </c>
      <c r="K379" s="38">
        <f t="shared" ca="1" si="164"/>
        <v>55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IFERROR(__xludf.DUMMYFUNCTION("IMPORTRANGE(""https://docs.google.com/spreadsheets/d/1XWAQStnk-4SwqDmLtmXYiTMKHgktTP8We1SCoS47DrQ/edit?usp=sharing"",""จัดที่ดิน!AK78"")"),3979.47)</f>
        <v>3979.47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IFERROR(__xludf.DUMMYFUNCTION("IMPORTRANGE(""https://docs.google.com/spreadsheets/d/1QqKyyYR6Q21VydFLVH3TRQUabQu_ym0Zz7PgGX0-kHA/edit?usp=sharing"",""แผน!EU78"")"),800)</f>
        <v>800</v>
      </c>
      <c r="J381" s="37">
        <f ca="1">IFERROR(__xludf.DUMMYFUNCTION("IMPORTRANGE(""https://docs.google.com/spreadsheets/d/1XWAQStnk-4SwqDmLtmXYiTMKHgktTP8We1SCoS47DrQ/edit?usp=sharing"",""จัดที่ดิน!AL78"")"),330)</f>
        <v>330</v>
      </c>
      <c r="K381" s="38">
        <f t="shared" ca="1" si="164"/>
        <v>41.25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IFERROR(__xludf.DUMMYFUNCTION("IMPORTRANGE(""https://docs.google.com/spreadsheets/d/1XWAQStnk-4SwqDmLtmXYiTMKHgktTP8We1SCoS47DrQ/edit?usp=sharing"",""จัดที่ดิน!AM78"")"),3325.59)</f>
        <v>3325.59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IFERROR(__xludf.DUMMYFUNCTION("IMPORTRANGE(""https://docs.google.com/spreadsheets/d/1QqKyyYR6Q21VydFLVH3TRQUabQu_ym0Zz7PgGX0-kHA/edit?usp=sharing"",""แผน!EW78"")"),40)</f>
        <v>40</v>
      </c>
      <c r="J385" s="365">
        <f ca="1">IFERROR(__xludf.DUMMYFUNCTION("IMPORTRANGE(""https://docs.google.com/spreadsheets/d/1XWAQStnk-4SwqDmLtmXYiTMKHgktTP8We1SCoS47DrQ/edit?usp=sharing"",""จัดที่ดิน!AP78"")"),16)</f>
        <v>16</v>
      </c>
      <c r="K385" s="475">
        <f ca="1">IF(I385&gt;0,J385*100/I385,0)</f>
        <v>40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IFERROR(__xludf.DUMMYFUNCTION("IMPORTRANGE(""https://docs.google.com/spreadsheets/d/1MeEWN-I1oV_STSDYn1IFDPWt_1FKiwhDph83XaGc0o0/edit?usp=sharing"",""งบพรบ!FG78"")"),0)</f>
        <v>0</v>
      </c>
      <c r="M394" s="45">
        <f ca="1">IFERROR(__xludf.DUMMYFUNCTION("IMPORTRANGE(""https://docs.google.com/spreadsheets/d/1MeEWN-I1oV_STSDYn1IFDPWt_1FKiwhDph83XaGc0o0/edit?usp=sharing"",""งบพรบ!FL78"")"),0)</f>
        <v>0</v>
      </c>
      <c r="N394" s="45">
        <f ca="1">IFERROR(__xludf.DUMMYFUNCTION("IMPORTRANGE(""https://docs.google.com/spreadsheets/d/1MeEWN-I1oV_STSDYn1IFDPWt_1FKiwhDph83XaGc0o0/edit?usp=sharing"",""งบพรบ!FN78"")"),0)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IFERROR(__xludf.DUMMYFUNCTION("IMPORTRANGE(""https://docs.google.com/spreadsheets/d/1MeEWN-I1oV_STSDYn1IFDPWt_1FKiwhDph83XaGc0o0/edit?usp=sharing"",""งบพรบ!FJ78"")"),0)</f>
        <v>0</v>
      </c>
      <c r="M397" s="45">
        <f ca="1">IFERROR(__xludf.DUMMYFUNCTION("IMPORTRANGE(""https://docs.google.com/spreadsheets/d/1MeEWN-I1oV_STSDYn1IFDPWt_1FKiwhDph83XaGc0o0/edit?usp=sharing"",""งบพรบ!FM78"")"),0)</f>
        <v>0</v>
      </c>
      <c r="N397" s="45">
        <f ca="1">IFERROR(__xludf.DUMMYFUNCTION("IMPORTRANGE(""https://docs.google.com/spreadsheets/d/1MeEWN-I1oV_STSDYn1IFDPWt_1FKiwhDph83XaGc0o0/edit?usp=sharing"",""งบพรบ!FO78"")"),0)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0</v>
      </c>
      <c r="J401" s="495">
        <f t="shared" si="173"/>
        <v>0</v>
      </c>
      <c r="K401" s="496">
        <f t="shared" si="172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IFERROR(__xludf.DUMMYFUNCTION("IMPORTRANGE(""https://docs.google.com/spreadsheets/d/1MeEWN-I1oV_STSDYn1IFDPWt_1FKiwhDph83XaGc0o0/edit?usp=sharing"",""งบพรบ!FQ78"")"),0)</f>
        <v>0</v>
      </c>
      <c r="M407" s="45">
        <f ca="1">IFERROR(__xludf.DUMMYFUNCTION("IMPORTRANGE(""https://docs.google.com/spreadsheets/d/1MeEWN-I1oV_STSDYn1IFDPWt_1FKiwhDph83XaGc0o0/edit?usp=sharing"",""งบพรบ!FV78"")"),0)</f>
        <v>0</v>
      </c>
      <c r="N407" s="45">
        <f ca="1">IFERROR(__xludf.DUMMYFUNCTION("IMPORTRANGE(""https://docs.google.com/spreadsheets/d/1MeEWN-I1oV_STSDYn1IFDPWt_1FKiwhDph83XaGc0o0/edit?usp=sharing"",""งบพรบ!FX78"")"),0)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IFERROR(__xludf.DUMMYFUNCTION("IMPORTRANGE(""https://docs.google.com/spreadsheets/d/1MeEWN-I1oV_STSDYn1IFDPWt_1FKiwhDph83XaGc0o0/edit?usp=sharing"",""งบพรบ!FT78"")"),0)</f>
        <v>0</v>
      </c>
      <c r="M410" s="45">
        <f ca="1">IFERROR(__xludf.DUMMYFUNCTION("IMPORTRANGE(""https://docs.google.com/spreadsheets/d/1MeEWN-I1oV_STSDYn1IFDPWt_1FKiwhDph83XaGc0o0/edit?usp=sharing"",""งบพรบ!FW78"")"),0)</f>
        <v>0</v>
      </c>
      <c r="N410" s="45">
        <f ca="1">IFERROR(__xludf.DUMMYFUNCTION("IMPORTRANGE(""https://docs.google.com/spreadsheets/d/1MeEWN-I1oV_STSDYn1IFDPWt_1FKiwhDph83XaGc0o0/edit?usp=sharing"",""งบพรบ!FY78"")"),0)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80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792843</v>
      </c>
      <c r="M414" s="521">
        <f t="shared" ca="1" si="181"/>
        <v>792843</v>
      </c>
      <c r="N414" s="521">
        <f t="shared" si="181"/>
        <v>568720.55000000005</v>
      </c>
      <c r="O414" s="521">
        <f ca="1">IF(L414&gt;0,N414*100/L414,0)</f>
        <v>71.731799360024624</v>
      </c>
      <c r="P414" s="521">
        <f ca="1">IF(M414&gt;0,N414*100/M414,0)</f>
        <v>71.731799360024624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20</v>
      </c>
      <c r="J417" s="536">
        <f t="shared" ca="1" si="182"/>
        <v>20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1</v>
      </c>
      <c r="J418" s="536">
        <f t="shared" si="182"/>
        <v>1</v>
      </c>
      <c r="K418" s="537">
        <f t="shared" ca="1" si="183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30895</v>
      </c>
      <c r="O419" s="154">
        <f t="shared" ref="O419:O424" ca="1" si="185">IF(L419&gt;0,N419*100/L419,0)</f>
        <v>39.276633613018049</v>
      </c>
      <c r="P419" s="154">
        <f t="shared" ref="P419:P424" ca="1" si="186">IF(M419&gt;0,N419*100/M419,0)</f>
        <v>39.276633613018049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30895</v>
      </c>
      <c r="O421" s="45">
        <f t="shared" ca="1" si="185"/>
        <v>39.276633613018049</v>
      </c>
      <c r="P421" s="45">
        <f t="shared" ca="1" si="186"/>
        <v>39.276633613018049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30895</v>
      </c>
      <c r="O422" s="38">
        <f t="shared" ca="1" si="185"/>
        <v>39.276633613018049</v>
      </c>
      <c r="P422" s="38">
        <f t="shared" ca="1" si="186"/>
        <v>39.276633613018049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IFERROR(__xludf.DUMMYFUNCTION("IMPORTRANGE(""https://docs.google.com/spreadsheets/d/1QqKyyYR6Q21VydFLVH3TRQUabQu_ym0Zz7PgGX0-kHA/edit?usp=sharing"",""แผน!EY78"")"),78660)</f>
        <v>78660</v>
      </c>
      <c r="M424" s="45">
        <f ca="1">L424</f>
        <v>78660</v>
      </c>
      <c r="N424" s="45">
        <f>N425+N426+N427+N428</f>
        <v>30895</v>
      </c>
      <c r="O424" s="45">
        <f t="shared" ca="1" si="185"/>
        <v>39.276633613018049</v>
      </c>
      <c r="P424" s="45">
        <f t="shared" ca="1" si="186"/>
        <v>39.276633613018049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f>22120+960+3080</f>
        <v>26160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1360+3375</f>
        <v>4735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IFERROR(__xludf.DUMMYFUNCTION("IMPORTRANGE(""https://docs.google.com/spreadsheets/d/1QqKyyYR6Q21VydFLVH3TRQUabQu_ym0Zz7PgGX0-kHA/edit?usp=sharing"",""แผน!FB78"")"),0)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IFERROR(__xludf.DUMMYFUNCTION("IMPORTRANGE(""https://docs.google.com/spreadsheets/d/1QqKyyYR6Q21VydFLVH3TRQUabQu_ym0Zz7PgGX0-kHA/edit?usp=sharing"",""แผน!FC78"")"),20)</f>
        <v>20</v>
      </c>
      <c r="J435" s="549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IFERROR(__xludf.DUMMYFUNCTION("IMPORTRANGE(""https://docs.google.com/spreadsheets/d/1QqKyyYR6Q21VydFLVH3TRQUabQu_ym0Zz7PgGX0-kHA/edit?usp=sharing"",""แผน!FD78"")"),0)</f>
        <v>0</v>
      </c>
      <c r="J437" s="549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IFERROR(__xludf.DUMMYFUNCTION("IMPORTRANGE(""https://docs.google.com/spreadsheets/d/1QqKyyYR6Q21VydFLVH3TRQUabQu_ym0Zz7PgGX0-kHA/edit?usp=sharing"",""แผน!FE78"")"),0)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IFERROR(__xludf.DUMMYFUNCTION("IMPORTRANGE(""https://docs.google.com/spreadsheets/d/1QqKyyYR6Q21VydFLVH3TRQUabQu_ym0Zz7PgGX0-kHA/edit?usp=sharing"",""แผน!FF78"")"),20)</f>
        <v>20</v>
      </c>
      <c r="J439" s="549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IFERROR(__xludf.DUMMYFUNCTION("IMPORTRANGE(""https://docs.google.com/spreadsheets/d/1QqKyyYR6Q21VydFLVH3TRQUabQu_ym0Zz7PgGX0-kHA/edit?usp=sharing"",""แผน!FG78"")"),1)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 hidden="1">
      <c r="A441" s="169"/>
      <c r="B441" s="170"/>
      <c r="C441" s="170"/>
      <c r="D441" s="258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IFERROR(__xludf.DUMMYFUNCTION("IMPORTRANGE(""https://docs.google.com/spreadsheets/d/1QqKyyYR6Q21VydFLVH3TRQUabQu_ym0Zz7PgGX0-kHA/edit?usp=sharing"",""แผน!FH78"")"),0)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0</v>
      </c>
      <c r="J442" s="555">
        <f t="shared" si="195"/>
        <v>0</v>
      </c>
      <c r="K442" s="556">
        <f t="shared" ca="1" si="194"/>
        <v>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 hidden="1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0</v>
      </c>
      <c r="J443" s="536">
        <f t="shared" si="196"/>
        <v>0</v>
      </c>
      <c r="K443" s="537">
        <f t="shared" ca="1" si="194"/>
        <v>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 hidden="1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0</v>
      </c>
      <c r="M444" s="191">
        <f t="shared" si="197"/>
        <v>0</v>
      </c>
      <c r="N444" s="191">
        <f t="shared" si="197"/>
        <v>0</v>
      </c>
      <c r="O444" s="191">
        <f t="shared" ref="O444:O449" ca="1" si="198">IF(L444&gt;0,N444*100/L444,0)</f>
        <v>0</v>
      </c>
      <c r="P444" s="191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0</v>
      </c>
      <c r="M446" s="45">
        <f t="shared" si="200"/>
        <v>0</v>
      </c>
      <c r="N446" s="45">
        <f t="shared" si="200"/>
        <v>0</v>
      </c>
      <c r="O446" s="45">
        <f t="shared" ca="1" si="198"/>
        <v>0</v>
      </c>
      <c r="P446" s="45">
        <f t="shared" si="199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 hidden="1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0</v>
      </c>
      <c r="M447" s="38">
        <f t="shared" si="201"/>
        <v>0</v>
      </c>
      <c r="N447" s="38">
        <f t="shared" si="201"/>
        <v>0</v>
      </c>
      <c r="O447" s="38">
        <f t="shared" ca="1" si="198"/>
        <v>0</v>
      </c>
      <c r="P447" s="38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IFERROR(__xludf.DUMMYFUNCTION("IMPORTRANGE(""https://docs.google.com/spreadsheets/d/1QqKyyYR6Q21VydFLVH3TRQUabQu_ym0Zz7PgGX0-kHA/edit?usp=sharing"",""แผน!FJ78"")"),0)</f>
        <v>0</v>
      </c>
      <c r="M449" s="45">
        <v>0</v>
      </c>
      <c r="N449" s="45">
        <f>N450+N451+N452+N453</f>
        <v>0</v>
      </c>
      <c r="O449" s="45">
        <f t="shared" ca="1" si="198"/>
        <v>0</v>
      </c>
      <c r="P449" s="45">
        <f t="shared" si="199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 hidden="1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 hidden="1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 hidden="1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 hidden="1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 hidden="1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IFERROR(__xludf.DUMMYFUNCTION("IMPORTRANGE(""https://docs.google.com/spreadsheets/d/1QqKyyYR6Q21VydFLVH3TRQUabQu_ym0Zz7PgGX0-kHA/edit?usp=sharing"",""แผน!FM78"")"),0)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 hidden="1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 hidden="1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IFERROR(__xludf.DUMMYFUNCTION("IMPORTRANGE(""https://docs.google.com/spreadsheets/d/1QqKyyYR6Q21VydFLVH3TRQUabQu_ym0Zz7PgGX0-kHA/edit?usp=sharing"",""แผน!FN78"")"),0)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 hidden="1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 hidden="1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IFERROR(__xludf.DUMMYFUNCTION("IMPORTRANGE(""https://docs.google.com/spreadsheets/d/1QqKyyYR6Q21VydFLVH3TRQUabQu_ym0Zz7PgGX0-kHA/edit?usp=sharing"",""แผน!FO78"")"),0)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 hidden="1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IFERROR(__xludf.DUMMYFUNCTION("IMPORTRANGE(""https://docs.google.com/spreadsheets/d/1QqKyyYR6Q21VydFLVH3TRQUabQu_ym0Zz7PgGX0-kHA/edit?usp=sharing"",""แผน!FO78"")"),0)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 hidden="1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IFERROR(__xludf.DUMMYFUNCTION("IMPORTRANGE(""https://docs.google.com/spreadsheets/d/1QqKyyYR6Q21VydFLVH3TRQUabQu_ym0Zz7PgGX0-kHA/edit?usp=sharing"",""แผน!FN78"")"),0)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IFERROR(__xludf.DUMMYFUNCTION("IMPORTRANGE(""https://docs.google.com/spreadsheets/d/1QqKyyYR6Q21VydFLVH3TRQUabQu_ym0Zz7PgGX0-kHA/edit?usp=sharing"",""แผน!FX78"")"),21)</f>
        <v>21</v>
      </c>
      <c r="J465" s="555">
        <f>J485+J489+J492</f>
        <v>21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IFERROR(__xludf.DUMMYFUNCTION("IMPORTRANGE(""https://docs.google.com/spreadsheets/d/1QqKyyYR6Q21VydFLVH3TRQUabQu_ym0Zz7PgGX0-kHA/edit?usp=sharing"",""แผน!FW78"")"),200)</f>
        <v>200</v>
      </c>
      <c r="J466" s="536">
        <f>J495+J498</f>
        <v>180</v>
      </c>
      <c r="K466" s="537">
        <f t="shared" ca="1" si="205"/>
        <v>90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187163</v>
      </c>
      <c r="M467" s="191">
        <f t="shared" ca="1" si="206"/>
        <v>187163</v>
      </c>
      <c r="N467" s="191">
        <f t="shared" si="206"/>
        <v>182612</v>
      </c>
      <c r="O467" s="191">
        <f t="shared" ref="O467:O472" ca="1" si="207">IF(L467&gt;0,N467*100/L467,0)</f>
        <v>97.568429657571201</v>
      </c>
      <c r="P467" s="191">
        <f t="shared" ref="P467:P472" ca="1" si="208">IF(M467&gt;0,N467*100/M467,0)</f>
        <v>97.568429657571201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187163</v>
      </c>
      <c r="M469" s="45">
        <f t="shared" ca="1" si="209"/>
        <v>187163</v>
      </c>
      <c r="N469" s="45">
        <f t="shared" si="209"/>
        <v>182612</v>
      </c>
      <c r="O469" s="45">
        <f t="shared" ca="1" si="207"/>
        <v>97.568429657571201</v>
      </c>
      <c r="P469" s="45">
        <f t="shared" ca="1" si="208"/>
        <v>97.568429657571201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187163</v>
      </c>
      <c r="M470" s="38">
        <f t="shared" ca="1" si="210"/>
        <v>187163</v>
      </c>
      <c r="N470" s="38">
        <f t="shared" si="210"/>
        <v>182612</v>
      </c>
      <c r="O470" s="38">
        <f t="shared" ca="1" si="207"/>
        <v>97.568429657571201</v>
      </c>
      <c r="P470" s="38">
        <f t="shared" ca="1" si="208"/>
        <v>97.568429657571201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IFERROR(__xludf.DUMMYFUNCTION("IMPORTRANGE(""https://docs.google.com/spreadsheets/d/1QqKyyYR6Q21VydFLVH3TRQUabQu_ym0Zz7PgGX0-kHA/edit?usp=sharing"",""แผน!FS78"")"),187163)</f>
        <v>187163</v>
      </c>
      <c r="M472" s="45">
        <f ca="1">L472</f>
        <v>187163</v>
      </c>
      <c r="N472" s="45">
        <f>N473+N474+N475+N476</f>
        <v>182612</v>
      </c>
      <c r="O472" s="45">
        <f t="shared" ca="1" si="207"/>
        <v>97.568429657571201</v>
      </c>
      <c r="P472" s="45">
        <f t="shared" ca="1" si="208"/>
        <v>97.568429657571201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f>37823-220</f>
        <v>37603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f>4010+2968+88000+40000</f>
        <v>134978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>4201+120+360+240+550+240+2840+1480</f>
        <v>10031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IFERROR(__xludf.DUMMYFUNCTION("IMPORTRANGE(""https://docs.google.com/spreadsheets/d/1QqKyyYR6Q21VydFLVH3TRQUabQu_ym0Zz7PgGX0-kHA/edit?usp=sharing"",""แผน!FV78"")"),0)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IFERROR(__xludf.DUMMYFUNCTION("IMPORTRANGE(""https://docs.google.com/spreadsheets/d/1QqKyyYR6Q21VydFLVH3TRQUabQu_ym0Zz7PgGX0-kHA/edit?usp=sharing"",""แผน!FY78"")"),180)</f>
        <v>180</v>
      </c>
      <c r="J483" s="181">
        <v>160</v>
      </c>
      <c r="K483" s="38">
        <f ca="1">IF(I483&gt;0,J483*100/I483,0)</f>
        <v>88.888888888888886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IFERROR(__xludf.DUMMYFUNCTION("IMPORTRANGE(""https://docs.google.com/spreadsheets/d/1QqKyyYR6Q21VydFLVH3TRQUabQu_ym0Zz7PgGX0-kHA/edit?usp=sharing"",""แผน!FZ78"")"),18)</f>
        <v>18</v>
      </c>
      <c r="J485" s="181">
        <v>18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IFERROR(__xludf.DUMMYFUNCTION("IMPORTRANGE(""https://docs.google.com/spreadsheets/d/1QqKyyYR6Q21VydFLVH3TRQUabQu_ym0Zz7PgGX0-kHA/edit?usp=sharing"",""แผน!GA78"")"),20)</f>
        <v>20</v>
      </c>
      <c r="J487" s="181">
        <v>20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IFERROR(__xludf.DUMMYFUNCTION("IMPORTRANGE(""https://docs.google.com/spreadsheets/d/1QqKyyYR6Q21VydFLVH3TRQUabQu_ym0Zz7PgGX0-kHA/edit?usp=sharing"",""แผน!GB78"")"),2)</f>
        <v>2</v>
      </c>
      <c r="J489" s="181">
        <v>2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IFERROR(__xludf.DUMMYFUNCTION("IMPORTRANGE(""https://docs.google.com/spreadsheets/d/1QqKyyYR6Q21VydFLVH3TRQUabQu_ym0Zz7PgGX0-kHA/edit?usp=sharing"",""แผน!GC78"")"),1)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IFERROR(__xludf.DUMMYFUNCTION("IMPORTRANGE(""https://docs.google.com/spreadsheets/d/1QqKyyYR6Q21VydFLVH3TRQUabQu_ym0Zz7PgGX0-kHA/edit?usp=sharing"",""แผน!FY78"")"),180)</f>
        <v>180</v>
      </c>
      <c r="J495" s="181">
        <v>160</v>
      </c>
      <c r="K495" s="38">
        <f ca="1">IF(I495&gt;0,J495*100/I495,0)</f>
        <v>88.888888888888886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20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IFERROR(__xludf.DUMMYFUNCTION("IMPORTRANGE(""https://docs.google.com/spreadsheets/d/1QqKyyYR6Q21VydFLVH3TRQUabQu_ym0Zz7PgGX0-kHA/edit?usp=sharing"",""แผน!GA78"")"),20)</f>
        <v>20</v>
      </c>
      <c r="J498" s="181">
        <v>20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 hidden="1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 hidden="1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0</v>
      </c>
      <c r="J522" s="630">
        <f t="shared" ca="1" si="225"/>
        <v>0</v>
      </c>
      <c r="K522" s="631">
        <f ca="1">IF(I522&gt;0,J522*100/I522,0)</f>
        <v>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 hidden="1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 hidden="1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IFERROR(__xludf.DUMMYFUNCTION("IMPORTRANGE(""https://docs.google.com/spreadsheets/d/1QqKyyYR6Q21VydFLVH3TRQUabQu_ym0Zz7PgGX0-kHA/edit?usp=sharing"",""แผน!GQ78"")"),0)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 hidden="1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 hidden="1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 hidden="1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 hidden="1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 hidden="1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IFERROR(__xludf.DUMMYFUNCTION("IMPORTRANGE(""https://docs.google.com/spreadsheets/d/1QqKyyYR6Q21VydFLVH3TRQUabQu_ym0Zz7PgGX0-kHA/edit?usp=sharing"",""แผน!GT78"")"),0)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 hidden="1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 hidden="1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IFERROR(__xludf.DUMMYFUNCTION("IMPORTRANGE(""https://docs.google.com/spreadsheets/d/1QqKyyYR6Q21VydFLVH3TRQUabQu_ym0Zz7PgGX0-kHA/edit?usp=sharing"",""แผน!GU78"")"),0)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 hidden="1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IFERROR(__xludf.DUMMYFUNCTION("IMPORTRANGE(""https://docs.google.com/spreadsheets/d/1QqKyyYR6Q21VydFLVH3TRQUabQu_ym0Zz7PgGX0-kHA/edit?usp=sharing"",""แผน!GV78"")"),0)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 hidden="1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IFERROR(__xludf.DUMMYFUNCTION("IMPORTRANGE(""https://docs.google.com/spreadsheets/d/1QqKyyYR6Q21VydFLVH3TRQUabQu_ym0Zz7PgGX0-kHA/edit?usp=sharing"",""แผน!GW78"")"),0)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 hidden="1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IFERROR(__xludf.DUMMYFUNCTION("IMPORTRANGE(""https://docs.google.com/spreadsheets/d/1QqKyyYR6Q21VydFLVH3TRQUabQu_ym0Zz7PgGX0-kHA/edit?usp=sharing"",""แผน!GX78"")"),0)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 hidden="1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IFERROR(__xludf.DUMMYFUNCTION("IMPORTRANGE(""https://docs.google.com/spreadsheets/d/1QqKyyYR6Q21VydFLVH3TRQUabQu_ym0Zz7PgGX0-kHA/edit?usp=sharing"",""แผน!GY78"")"),0)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 hidden="1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IFERROR(__xludf.DUMMYFUNCTION("IMPORTRANGE(""https://docs.google.com/spreadsheets/d/1QqKyyYR6Q21VydFLVH3TRQUabQu_ym0Zz7PgGX0-kHA/edit?usp=sharing"",""แผน!GZ78"")"),0)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29942</v>
      </c>
      <c r="J543" s="638">
        <f t="shared" si="235"/>
        <v>26125</v>
      </c>
      <c r="K543" s="639">
        <f t="shared" ca="1" si="234"/>
        <v>87.252020573108013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305575</v>
      </c>
      <c r="M544" s="154">
        <f t="shared" ca="1" si="236"/>
        <v>305575</v>
      </c>
      <c r="N544" s="154">
        <f t="shared" si="236"/>
        <v>257697.86</v>
      </c>
      <c r="O544" s="154">
        <f t="shared" ref="O544:O549" ca="1" si="237">IF(L544&gt;0,N544*100/L544,0)</f>
        <v>84.332114865417651</v>
      </c>
      <c r="P544" s="154">
        <f t="shared" ref="P544:P549" ca="1" si="238">IF(M544&gt;0,N544*100/M544,0)</f>
        <v>84.332114865417651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305575</v>
      </c>
      <c r="M546" s="45">
        <f t="shared" ca="1" si="240"/>
        <v>305575</v>
      </c>
      <c r="N546" s="45">
        <f t="shared" si="240"/>
        <v>257697.86</v>
      </c>
      <c r="O546" s="45">
        <f t="shared" ca="1" si="237"/>
        <v>84.332114865417651</v>
      </c>
      <c r="P546" s="45">
        <f t="shared" ca="1" si="238"/>
        <v>84.332114865417651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305575</v>
      </c>
      <c r="M547" s="38">
        <f t="shared" ca="1" si="241"/>
        <v>305575</v>
      </c>
      <c r="N547" s="38">
        <f t="shared" si="241"/>
        <v>257697.86</v>
      </c>
      <c r="O547" s="38">
        <f t="shared" ca="1" si="237"/>
        <v>84.332114865417651</v>
      </c>
      <c r="P547" s="38">
        <f t="shared" ca="1" si="238"/>
        <v>84.332114865417651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IFERROR(__xludf.DUMMYFUNCTION("IMPORTRANGE(""https://docs.google.com/spreadsheets/d/1QqKyyYR6Q21VydFLVH3TRQUabQu_ym0Zz7PgGX0-kHA/edit?usp=sharing"",""แผน!HB78"")"),305575)</f>
        <v>305575</v>
      </c>
      <c r="M549" s="45">
        <f ca="1">L549</f>
        <v>305575</v>
      </c>
      <c r="N549" s="45">
        <f>N550+N551+N552+N553+N554</f>
        <v>257697.86</v>
      </c>
      <c r="O549" s="45">
        <f t="shared" ca="1" si="237"/>
        <v>84.332114865417651</v>
      </c>
      <c r="P549" s="45">
        <f t="shared" ca="1" si="238"/>
        <v>84.332114865417651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f>(25460-3500)+3480+202.5</f>
        <v>25642.5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f>18230+8120+6750+6810+4662+9920</f>
        <v>54492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f>12566.67+12566.67+12566.67+12566.67+13000+12133.34+12133.34+13000</f>
        <v>100533.36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4533+3508+17583+432+2240+1820+3380+1220+1920+1220+10760+3300+5667+1651+3800+2720+2256+2600+1480+2360+2580</f>
        <v>77030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IFERROR(__xludf.DUMMYFUNCTION("IMPORTRANGE(""https://docs.google.com/spreadsheets/d/1QqKyyYR6Q21VydFLVH3TRQUabQu_ym0Zz7PgGX0-kHA/edit?usp=sharing"",""แผน!HF78"")"),0)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29942</v>
      </c>
      <c r="J559" s="630">
        <f t="shared" si="245"/>
        <v>26125</v>
      </c>
      <c r="K559" s="631">
        <f t="shared" ref="K559:K561" ca="1" si="246">IF(I559&gt;0,J559*100/I559,0)</f>
        <v>87.252020573108013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IFERROR(__xludf.DUMMYFUNCTION("IMPORTRANGE(""https://docs.google.com/spreadsheets/d/1QqKyyYR6Q21VydFLVH3TRQUabQu_ym0Zz7PgGX0-kHA/edit?usp=sharing"",""แผน!HH78"")"),29942)</f>
        <v>29942</v>
      </c>
      <c r="J560" s="189">
        <f t="shared" ref="J560:J561" si="247">J562+J564+J566</f>
        <v>29942</v>
      </c>
      <c r="K560" s="391">
        <f t="shared" ca="1" si="246"/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IFERROR(__xludf.DUMMYFUNCTION("IMPORTRANGE(""https://docs.google.com/spreadsheets/d/1QqKyyYR6Q21VydFLVH3TRQUabQu_ym0Zz7PgGX0-kHA/edit?usp=sharing"",""แผน!HG78"")"),3752)</f>
        <v>3752</v>
      </c>
      <c r="J561" s="189">
        <f t="shared" si="247"/>
        <v>3752</v>
      </c>
      <c r="K561" s="391">
        <f t="shared" ca="1" si="246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25831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3325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3753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375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358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52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IFERROR(__xludf.DUMMYFUNCTION("IMPORTRANGE(""https://docs.google.com/spreadsheets/d/1QqKyyYR6Q21VydFLVH3TRQUabQu_ym0Zz7PgGX0-kHA/edit?usp=sharing"",""แผน!HH78"")"),29942)</f>
        <v>29942</v>
      </c>
      <c r="J568" s="190">
        <f t="shared" ref="J568:J569" si="248">J570+J572+J574</f>
        <v>29942</v>
      </c>
      <c r="K568" s="391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IFERROR(__xludf.DUMMYFUNCTION("IMPORTRANGE(""https://docs.google.com/spreadsheets/d/1QqKyyYR6Q21VydFLVH3TRQUabQu_ym0Zz7PgGX0-kHA/edit?usp=sharing"",""แผน!HG78"")"),3752)</f>
        <v>3752</v>
      </c>
      <c r="J569" s="190">
        <f t="shared" si="248"/>
        <v>3752</v>
      </c>
      <c r="K569" s="391">
        <f t="shared" ca="1" si="249"/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25782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3314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3802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386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358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52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IFERROR(__xludf.DUMMYFUNCTION("IMPORTRANGE(""https://docs.google.com/spreadsheets/d/1QqKyyYR6Q21VydFLVH3TRQUabQu_ym0Zz7PgGX0-kHA/edit?usp=sharing"",""แผน!HH78"")"),29942)</f>
        <v>29942</v>
      </c>
      <c r="J576" s="190">
        <f t="shared" ref="J576:J577" si="250">J578+J580+J582+J588+J590</f>
        <v>26125</v>
      </c>
      <c r="K576" s="391">
        <f t="shared" ref="K576:K577" ca="1" si="251">IF(I576&gt;0,J576*100/I576,0)</f>
        <v>87.252020573108013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IFERROR(__xludf.DUMMYFUNCTION("IMPORTRANGE(""https://docs.google.com/spreadsheets/d/1QqKyyYR6Q21VydFLVH3TRQUabQu_ym0Zz7PgGX0-kHA/edit?usp=sharing"",""แผน!HG78"")"),3752)</f>
        <v>3752</v>
      </c>
      <c r="J577" s="190">
        <f t="shared" si="250"/>
        <v>3363</v>
      </c>
      <c r="K577" s="391">
        <f t="shared" ca="1" si="251"/>
        <v>89.63219616204691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25782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3314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343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49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343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49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179.63</v>
      </c>
      <c r="J592" s="630">
        <f t="shared" si="253"/>
        <v>0</v>
      </c>
      <c r="K592" s="631">
        <f t="shared" ref="K592:K594" ca="1" si="254">IF(I592&gt;0,J592*100/I592,0)</f>
        <v>0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IFERROR(__xludf.DUMMYFUNCTION("IMPORTRANGE(""https://docs.google.com/spreadsheets/d/1QqKyyYR6Q21VydFLVH3TRQUabQu_ym0Zz7PgGX0-kHA/edit?usp=sharing"",""แผน!HJ78"")"),179.63)</f>
        <v>179.63</v>
      </c>
      <c r="J593" s="189">
        <f t="shared" ref="J593:J594" si="255">J595+J603+J609</f>
        <v>0</v>
      </c>
      <c r="K593" s="391">
        <f t="shared" ca="1" si="254"/>
        <v>0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IFERROR(__xludf.DUMMYFUNCTION("IMPORTRANGE(""https://docs.google.com/spreadsheets/d/1QqKyyYR6Q21VydFLVH3TRQUabQu_ym0Zz7PgGX0-kHA/edit?usp=sharing"",""แผน!HI78"")"),36)</f>
        <v>36</v>
      </c>
      <c r="J594" s="189">
        <f t="shared" si="255"/>
        <v>0</v>
      </c>
      <c r="K594" s="391">
        <f t="shared" ca="1" si="254"/>
        <v>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IFERROR(__xludf.DUMMYFUNCTION("IMPORTRANGE(""https://docs.google.com/spreadsheets/d/1QqKyyYR6Q21VydFLVH3TRQUabQu_ym0Zz7PgGX0-kHA/edit?usp=sharing"",""แผน!HL78"")"),8)</f>
        <v>8</v>
      </c>
      <c r="J620" s="675">
        <f t="shared" ref="J620:J621" si="260">J622+J624+J626</f>
        <v>0</v>
      </c>
      <c r="K620" s="676">
        <f t="shared" ref="K620:K621" ca="1" si="261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IFERROR(__xludf.DUMMYFUNCTION("IMPORTRANGE(""https://docs.google.com/spreadsheets/d/1QqKyyYR6Q21VydFLVH3TRQUabQu_ym0Zz7PgGX0-kHA/edit?usp=sharing"",""แผน!HK78"")"),2)</f>
        <v>2</v>
      </c>
      <c r="J621" s="675">
        <f t="shared" si="260"/>
        <v>0</v>
      </c>
      <c r="K621" s="676">
        <f t="shared" ca="1" si="261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40</v>
      </c>
      <c r="J628" s="686">
        <f t="shared" ca="1" si="262"/>
        <v>0</v>
      </c>
      <c r="K628" s="687">
        <f ca="1">IF(I628&gt;0,J628*100/I628,0)</f>
        <v>0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221445</v>
      </c>
      <c r="M629" s="191">
        <f t="shared" ca="1" si="263"/>
        <v>221445</v>
      </c>
      <c r="N629" s="191">
        <f t="shared" si="263"/>
        <v>97515.69</v>
      </c>
      <c r="O629" s="191">
        <f t="shared" ref="O629:O634" ca="1" si="264">IF(L629&gt;0,N629*100/L629,0)</f>
        <v>44.036076678181942</v>
      </c>
      <c r="P629" s="191">
        <f t="shared" ref="P629:P634" ca="1" si="265">IF(M629&gt;0,N629*100/M629,0)</f>
        <v>44.036076678181942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221445</v>
      </c>
      <c r="M631" s="45">
        <f t="shared" ca="1" si="266"/>
        <v>221445</v>
      </c>
      <c r="N631" s="45">
        <f t="shared" si="266"/>
        <v>97515.69</v>
      </c>
      <c r="O631" s="45">
        <f t="shared" ca="1" si="264"/>
        <v>44.036076678181942</v>
      </c>
      <c r="P631" s="45">
        <f t="shared" ca="1" si="265"/>
        <v>44.036076678181942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221445</v>
      </c>
      <c r="M632" s="38">
        <f t="shared" ca="1" si="267"/>
        <v>221445</v>
      </c>
      <c r="N632" s="38">
        <f t="shared" si="267"/>
        <v>97515.69</v>
      </c>
      <c r="O632" s="38">
        <f t="shared" ca="1" si="264"/>
        <v>44.036076678181942</v>
      </c>
      <c r="P632" s="38">
        <f t="shared" ca="1" si="265"/>
        <v>44.036076678181942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IFERROR(__xludf.DUMMYFUNCTION("IMPORTRANGE(""https://docs.google.com/spreadsheets/d/1QqKyyYR6Q21VydFLVH3TRQUabQu_ym0Zz7PgGX0-kHA/edit?usp=sharing"",""แผน!HN78"")"),221445)</f>
        <v>221445</v>
      </c>
      <c r="M634" s="45">
        <f ca="1">L634</f>
        <v>221445</v>
      </c>
      <c r="N634" s="45">
        <f>N635+N636+N637+N638</f>
        <v>97515.69</v>
      </c>
      <c r="O634" s="45">
        <f t="shared" ca="1" si="264"/>
        <v>44.036076678181942</v>
      </c>
      <c r="P634" s="45">
        <f t="shared" ca="1" si="265"/>
        <v>44.036076678181942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f>7250+40200</f>
        <v>47450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4896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f>3780+6300</f>
        <v>10080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>2350+2260+1600+5800+3380+9059.69+5680+3960+1000</f>
        <v>35089.69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IFERROR(__xludf.DUMMYFUNCTION("IMPORTRANGE(""https://docs.google.com/spreadsheets/d/1QqKyyYR6Q21VydFLVH3TRQUabQu_ym0Zz7PgGX0-kHA/edit?usp=sharing"",""แผน!HQ78"")"),0)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IFERROR(__xludf.DUMMYFUNCTION("IMPORTRANGE(""https://docs.google.com/spreadsheets/d/1QqKyyYR6Q21VydFLVH3TRQUabQu_ym0Zz7PgGX0-kHA/edit?usp=sharing"",""แผน!HR78"")"),1)</f>
        <v>1</v>
      </c>
      <c r="J643" s="181">
        <v>1</v>
      </c>
      <c r="K643" s="162">
        <f t="shared" ref="K643:K652" ca="1" si="271">IF(I643&gt;0,J643*100/I643,0)</f>
        <v>100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IFERROR(__xludf.DUMMYFUNCTION("IMPORTRANGE(""https://docs.google.com/spreadsheets/d/1QqKyyYR6Q21VydFLVH3TRQUabQu_ym0Zz7PgGX0-kHA/edit?usp=sharing"",""แผน!HR78"")"),1)</f>
        <v>1</v>
      </c>
      <c r="J644" s="181">
        <v>1</v>
      </c>
      <c r="K644" s="162">
        <f t="shared" ca="1" si="271"/>
        <v>100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IFERROR(__xludf.DUMMYFUNCTION("IMPORTRANGE(""https://docs.google.com/spreadsheets/d/1XWAQStnk-4SwqDmLtmXYiTMKHgktTP8We1SCoS47DrQ/edit?usp=sharing"",""จัดที่ดิน!AS78"")"),35)</f>
        <v>35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IFERROR(__xludf.DUMMYFUNCTION("IMPORTRANGE(""https://docs.google.com/spreadsheets/d/1XWAQStnk-4SwqDmLtmXYiTMKHgktTP8We1SCoS47DrQ/edit?usp=sharing"",""จัดที่ดิน!AT78"")"),14.03)</f>
        <v>14.03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IFERROR(__xludf.DUMMYFUNCTION("IMPORTRANGE(""https://docs.google.com/spreadsheets/d/1QqKyyYR6Q21VydFLVH3TRQUabQu_ym0Zz7PgGX0-kHA/edit?usp=sharing"",""แผน!HS78"")"),40)</f>
        <v>40</v>
      </c>
      <c r="J647" s="37">
        <f ca="1">IFERROR(__xludf.DUMMYFUNCTION("IMPORTRANGE(""https://docs.google.com/spreadsheets/d/1XWAQStnk-4SwqDmLtmXYiTMKHgktTP8We1SCoS47DrQ/edit?usp=sharing"",""จัดที่ดิน!AU78"")"),13)</f>
        <v>13</v>
      </c>
      <c r="K647" s="162">
        <f t="shared" ca="1" si="271"/>
        <v>32.5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IFERROR(__xludf.DUMMYFUNCTION("IMPORTRANGE(""https://docs.google.com/spreadsheets/d/1XWAQStnk-4SwqDmLtmXYiTMKHgktTP8We1SCoS47DrQ/edit?usp=sharing"",""จัดที่ดิน!AV78"")"),4.01)</f>
        <v>4.01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IFERROR(__xludf.DUMMYFUNCTION("IMPORTRANGE(""https://docs.google.com/spreadsheets/d/1QqKyyYR6Q21VydFLVH3TRQUabQu_ym0Zz7PgGX0-kHA/edit?usp=sharing"",""แผน!HS78"")"),40)</f>
        <v>40</v>
      </c>
      <c r="J649" s="37">
        <f ca="1">IFERROR(__xludf.DUMMYFUNCTION("IMPORTRANGE(""https://docs.google.com/spreadsheets/d/1XWAQStnk-4SwqDmLtmXYiTMKHgktTP8We1SCoS47DrQ/edit?usp=sharing"",""จัดที่ดิน!AW78"")"),0)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IFERROR(__xludf.DUMMYFUNCTION("IMPORTRANGE(""https://docs.google.com/spreadsheets/d/1XWAQStnk-4SwqDmLtmXYiTMKHgktTP8We1SCoS47DrQ/edit?usp=sharing"",""จัดที่ดิน!AX78"")"),0)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IFERROR(__xludf.DUMMYFUNCTION("IMPORTRANGE(""https://docs.google.com/spreadsheets/d/1QqKyyYR6Q21VydFLVH3TRQUabQu_ym0Zz7PgGX0-kHA/edit?usp=sharing"",""แผน!HS78"")"),40)</f>
        <v>40</v>
      </c>
      <c r="J651" s="37">
        <f ca="1">IFERROR(__xludf.DUMMYFUNCTION("IMPORTRANGE(""https://docs.google.com/spreadsheets/d/1XWAQStnk-4SwqDmLtmXYiTMKHgktTP8We1SCoS47DrQ/edit?usp=sharing"",""จัดที่ดิน!AY78"")"),0)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IFERROR(__xludf.DUMMYFUNCTION("IMPORTRANGE(""https://docs.google.com/spreadsheets/d/1XWAQStnk-4SwqDmLtmXYiTMKHgktTP8We1SCoS47DrQ/edit?usp=sharing"",""จัดที่ดิน!AZ78"")"),0)</f>
        <v>0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 hidden="1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 hidden="1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 hidden="1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 hidden="1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IFERROR(__xludf.DUMMYFUNCTION("IMPORTRANGE(""https://docs.google.com/spreadsheets/d/1QqKyyYR6Q21VydFLVH3TRQUabQu_ym0Zz7PgGX0-kHA/edit?usp=sharing"",""แผน!HV78"")"),0)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 hidden="1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 hidden="1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 hidden="1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 hidden="1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 hidden="1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 hidden="1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 hidden="1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IFERROR(__xludf.DUMMYFUNCTION("IMPORTRANGE(""https://docs.google.com/spreadsheets/d/1QqKyyYR6Q21VydFLVH3TRQUabQu_ym0Zz7PgGX0-kHA/edit?usp=sharing"",""แผน!IA78"")"),0)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 hidden="1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IFERROR(__xludf.DUMMYFUNCTION("IMPORTRANGE(""https://docs.google.com/spreadsheets/d/1QqKyyYR6Q21VydFLVH3TRQUabQu_ym0Zz7PgGX0-kHA/edit?usp=sharing"",""แผน!HZ78"")"),0)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 hidden="1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IFERROR(__xludf.DUMMYFUNCTION("IMPORTRANGE(""https://docs.google.com/spreadsheets/d/1QqKyyYR6Q21VydFLVH3TRQUabQu_ym0Zz7PgGX0-kHA/edit?usp=sharing"",""แผน!HZ78"")"),0)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 hidden="1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 hidden="1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 hidden="1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 hidden="1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 hidden="1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 hidden="1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 hidden="1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IFERROR(__xludf.DUMMYFUNCTION("IMPORTRANGE(""https://docs.google.com/spreadsheets/d/1QqKyyYR6Q21VydFLVH3TRQUabQu_ym0Zz7PgGX0-kHA/edit?usp=sharing"",""แผน!IB78"")"),0)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 hidden="1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 hidden="1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 hidden="1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 hidden="1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 hidden="1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 hidden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 hidden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 hidden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IFERROR(__xludf.DUMMYFUNCTION("IMPORTRANGE(""https://docs.google.com/spreadsheets/d/1QqKyyYR6Q21VydFLVH3TRQUabQu_ym0Zz7PgGX0-kHA/edit?usp=sharing"",""แผน!HW78"")"),0)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 hidden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 hidden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 hidden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 hidden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 hidden="1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 hidden="1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 hidden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IFERROR(__xludf.DUMMYFUNCTION("IMPORTRANGE(""https://docs.google.com/spreadsheets/d/1QqKyyYR6Q21VydFLVH3TRQUabQu_ym0Zz7PgGX0-kHA/edit?usp=sharing"",""แผน!IC78"")"),0)</f>
        <v>0</v>
      </c>
      <c r="J699" s="37">
        <f ca="1">IFERROR(__xludf.DUMMYFUNCTION("IMPORTRANGE(""https://docs.google.com/spreadsheets/d/1XWAQStnk-4SwqDmLtmXYiTMKHgktTP8We1SCoS47DrQ/edit?usp=sharing"",""จัดที่ดิน!BB78"")"),0)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 hidden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IFERROR(__xludf.DUMMYFUNCTION("IMPORTRANGE(""https://docs.google.com/spreadsheets/d/1QqKyyYR6Q21VydFLVH3TRQUabQu_ym0Zz7PgGX0-kHA/edit?usp=sharing"",""แผน!ID78"")"),0)</f>
        <v>0</v>
      </c>
      <c r="J700" s="37">
        <f ca="1">IFERROR(__xludf.DUMMYFUNCTION("IMPORTRANGE(""https://docs.google.com/spreadsheets/d/1XWAQStnk-4SwqDmLtmXYiTMKHgktTP8We1SCoS47DrQ/edit?usp=sharing"",""จัดที่ดิน!BD78"")"),0)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 hidden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IFERROR(__xludf.DUMMYFUNCTION("IMPORTRANGE(""https://docs.google.com/spreadsheets/d/1QqKyyYR6Q21VydFLVH3TRQUabQu_ym0Zz7PgGX0-kHA/edit?usp=sharing"",""แผน!IE78"")"),0)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 hidden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 hidden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 hidden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IFERROR(__xludf.DUMMYFUNCTION("IMPORTRANGE(""https://docs.google.com/spreadsheets/d/1QqKyyYR6Q21VydFLVH3TRQUabQu_ym0Zz7PgGX0-kHA/edit?usp=sharing"",""แผน!IF78"")"),0)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 hidden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 hidden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 hidden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IFERROR(__xludf.DUMMYFUNCTION("IMPORTRANGE(""https://docs.google.com/spreadsheets/d/1QqKyyYR6Q21VydFLVH3TRQUabQu_ym0Zz7PgGX0-kHA/edit?usp=sharing"",""แผน!IG78"")"),0)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 hidden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IFERROR(__xludf.DUMMYFUNCTION("IMPORTRANGE(""https://docs.google.com/spreadsheets/d/1QqKyyYR6Q21VydFLVH3TRQUabQu_ym0Zz7PgGX0-kHA/edit?usp=sharing"",""แผน!IH78"")"),0)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 hidden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 hidden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 hidden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 hidden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 hidden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 hidden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 hidden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 hidden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 hidden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 hidden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IFERROR(__xludf.DUMMYFUNCTION("IMPORTRANGE(""https://docs.google.com/spreadsheets/d/1XWAQStnk-4SwqDmLtmXYiTMKHgktTP8We1SCoS47DrQ/edit?usp=sharing"",""จัดที่ดิน!BF78"")"),0)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 hidden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IFERROR(__xludf.DUMMYFUNCTION("IMPORTRANGE(""https://docs.google.com/spreadsheets/d/1XWAQStnk-4SwqDmLtmXYiTMKHgktTP8We1SCoS47DrQ/edit?usp=sharing"",""จัดที่ดิน!BG78"")"),0)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 hidden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IFERROR(__xludf.DUMMYFUNCTION("IMPORTRANGE(""https://docs.google.com/spreadsheets/d/1QqKyyYR6Q21VydFLVH3TRQUabQu_ym0Zz7PgGX0-kHA/edit?usp=sharing"",""แผน!II78"")"),0)</f>
        <v>0</v>
      </c>
      <c r="J720" s="37">
        <f ca="1">IFERROR(__xludf.DUMMYFUNCTION("IMPORTRANGE(""https://docs.google.com/spreadsheets/d/1XWAQStnk-4SwqDmLtmXYiTMKHgktTP8We1SCoS47DrQ/edit?usp=sharing"",""จัดที่ดิน!BH78"")"),0)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 hidden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IFERROR(__xludf.DUMMYFUNCTION("IMPORTRANGE(""https://docs.google.com/spreadsheets/d/1QqKyyYR6Q21VydFLVH3TRQUabQu_ym0Zz7PgGX0-kHA/edit?usp=sharing"",""แผน!IJ78"")"),0)</f>
        <v>0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 hidden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IFERROR(__xludf.DUMMYFUNCTION("IMPORTRANGE(""https://docs.google.com/spreadsheets/d/1QqKyyYR6Q21VydFLVH3TRQUabQu_ym0Zz7PgGX0-kHA/edit?usp=sharing"",""แผน!IK78"")"),0)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 hidden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IFERROR(__xludf.DUMMYFUNCTION("IMPORTRANGE(""https://docs.google.com/spreadsheets/d/1QqKyyYR6Q21VydFLVH3TRQUabQu_ym0Zz7PgGX0-kHA/edit?usp=sharing"",""แผน!IL78"")"),0)</f>
        <v>0</v>
      </c>
      <c r="J723" s="37">
        <f ca="1">IFERROR(__xludf.DUMMYFUNCTION("IMPORTRANGE(""https://docs.google.com/spreadsheets/d/1XWAQStnk-4SwqDmLtmXYiTMKHgktTP8We1SCoS47DrQ/edit?usp=sharing"",""จัดที่ดิน!BM78"")"),0)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 hidden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IFERROR(__xludf.DUMMYFUNCTION("IMPORTRANGE(""https://docs.google.com/spreadsheets/d/1XWAQStnk-4SwqDmLtmXYiTMKHgktTP8We1SCoS47DrQ/edit?usp=sharing"",""จัดที่ดิน!BN78"")"),0)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 hidden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IFERROR(__xludf.DUMMYFUNCTION("IMPORTRANGE(""https://docs.google.com/spreadsheets/d/1QqKyyYR6Q21VydFLVH3TRQUabQu_ym0Zz7PgGX0-kHA/edit?usp=sharing"",""แผน!IM78"")"),0)</f>
        <v>0</v>
      </c>
      <c r="J725" s="37">
        <f ca="1">IFERROR(__xludf.DUMMYFUNCTION("IMPORTRANGE(""https://docs.google.com/spreadsheets/d/1XWAQStnk-4SwqDmLtmXYiTMKHgktTP8We1SCoS47DrQ/edit?usp=sharing"",""จัดที่ดิน!BO78"")"),0)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 hidden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IFERROR(__xludf.DUMMYFUNCTION("IMPORTRANGE(""https://docs.google.com/spreadsheets/d/1QqKyyYR6Q21VydFLVH3TRQUabQu_ym0Zz7PgGX0-kHA/edit?usp=sharing"",""แผน!IN78"")"),0)</f>
        <v>0</v>
      </c>
      <c r="J726" s="37">
        <f ca="1">IFERROR(__xludf.DUMMYFUNCTION("IMPORTRANGE(""https://docs.google.com/spreadsheets/d/1XWAQStnk-4SwqDmLtmXYiTMKHgktTP8We1SCoS47DrQ/edit?usp=sharing"",""จัดที่ดิน!BR78"")"),0)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 hidden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IFERROR(__xludf.DUMMYFUNCTION("IMPORTRANGE(""https://docs.google.com/spreadsheets/d/1XWAQStnk-4SwqDmLtmXYiTMKHgktTP8We1SCoS47DrQ/edit?usp=sharing"",""จัดที่ดิน!BS78"")"),0)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 hidden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IFERROR(__xludf.DUMMYFUNCTION("IMPORTRANGE(""https://docs.google.com/spreadsheets/d/1QqKyyYR6Q21VydFLVH3TRQUabQu_ym0Zz7PgGX0-kHA/edit?usp=sharing"",""แผน!IO78"")"),0)</f>
        <v>0</v>
      </c>
      <c r="J728" s="37">
        <f ca="1">IFERROR(__xludf.DUMMYFUNCTION("IMPORTRANGE(""https://docs.google.com/spreadsheets/d/1XWAQStnk-4SwqDmLtmXYiTMKHgktTP8We1SCoS47DrQ/edit?usp=sharing"",""จัดที่ดิน!BT78"")"),0)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 hidden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IFERROR(__xludf.DUMMYFUNCTION("IMPORTRANGE(""https://docs.google.com/spreadsheets/d/1QqKyyYR6Q21VydFLVH3TRQUabQu_ym0Zz7PgGX0-kHA/edit?usp=sharing"",""แผน!IP78"")"),0)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 hidden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 hidden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 hidden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 hidden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 hidden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 hidden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IFERROR(__xludf.DUMMYFUNCTION("IMPORTRANGE(""https://docs.google.com/spreadsheets/d/1QqKyyYR6Q21VydFLVH3TRQUabQu_ym0Zz7PgGX0-kHA/edit?usp=sharing"",""แผน!JJ78"")"),0)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IFERROR(__xludf.DUMMYFUNCTION("IMPORTRANGE(""https://docs.google.com/spreadsheets/d/1QqKyyYR6Q21VydFLVH3TRQUabQu_ym0Zz7PgGX0-kHA/edit?usp=sharing"",""แผน!JN78"")"),0)</f>
        <v>0</v>
      </c>
      <c r="J800" s="161">
        <f ca="1">IFERROR(__xludf.DUMMYFUNCTION("IMPORTRANGE(""https://docs.google.com/spreadsheets/d/1MaWodYyGHDf7siQLGxnXhG4mBNTNIuy296niS2xXulU/edit?usp=sharing"",""RTK!H78"")"),0)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IFERROR(__xludf.DUMMYFUNCTION("IMPORTRANGE(""https://docs.google.com/spreadsheets/d/1MaWodYyGHDf7siQLGxnXhG4mBNTNIuy296niS2xXulU/edit?usp=sharing"",""RTK!I78"")"),0)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333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37">
        <f ca="1">IFERROR(__xludf.DUMMYFUNCTION("IMPORTRANGE(""https://docs.google.com/spreadsheets/d/19vJNZY_5yjcGF2XGBMNZRCAIB0Kwfpjp8YEOfu-bneM/edit?usp=sharing"",""งานกองทุน!F78"")"),1502813.76)</f>
        <v>1502813.76</v>
      </c>
      <c r="K821" s="38">
        <f t="shared" ref="K821:K828" ca="1" si="335">IF(I821&gt;0,J821*100/I821,0)</f>
        <v>53.135781483001701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IFERROR(__xludf.DUMMYFUNCTION("IMPORTRANGE(""https://docs.google.com/spreadsheets/d/19vJNZY_5yjcGF2XGBMNZRCAIB0Kwfpjp8YEOfu-bneM/edit?usp=sharing"",""งานกองทุน!C78"")"),178)</f>
        <v>178</v>
      </c>
      <c r="J822" s="37">
        <f ca="1">IFERROR(__xludf.DUMMYFUNCTION("IMPORTRANGE(""https://docs.google.com/spreadsheets/d/19vJNZY_5yjcGF2XGBMNZRCAIB0Kwfpjp8YEOfu-bneM/edit?usp=sharing"",""งานกองทุน!E78"")"),102)</f>
        <v>102</v>
      </c>
      <c r="K822" s="38">
        <f t="shared" ca="1" si="335"/>
        <v>57.303370786516851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37">
        <f ca="1">IFERROR(__xludf.DUMMYFUNCTION("IMPORTRANGE(""https://docs.google.com/spreadsheets/d/19vJNZY_5yjcGF2XGBMNZRCAIB0Kwfpjp8YEOfu-bneM/edit?usp=sharing"",""งานกองทุน!K78"")"),447889.81)</f>
        <v>447889.81</v>
      </c>
      <c r="K823" s="38">
        <f t="shared" ca="1" si="335"/>
        <v>21.815920507542888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IFERROR(__xludf.DUMMYFUNCTION("IMPORTRANGE(""https://docs.google.com/spreadsheets/d/19vJNZY_5yjcGF2XGBMNZRCAIB0Kwfpjp8YEOfu-bneM/edit?usp=sharing"",""งานกองทุน!H78"")"),93)</f>
        <v>93</v>
      </c>
      <c r="J824" s="37">
        <f ca="1">IFERROR(__xludf.DUMMYFUNCTION("IMPORTRANGE(""https://docs.google.com/spreadsheets/d/19vJNZY_5yjcGF2XGBMNZRCAIB0Kwfpjp8YEOfu-bneM/edit?usp=sharing"",""งานกองทุน!J78"")"),72)</f>
        <v>72</v>
      </c>
      <c r="K824" s="38">
        <f t="shared" ca="1" si="335"/>
        <v>77.41935483870968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IFERROR(__xludf.DUMMYFUNCTION("IMPORTRANGE(""https://docs.google.com/spreadsheets/d/19vJNZY_5yjcGF2XGBMNZRCAIB0Kwfpjp8YEOfu-bneM/edit?usp=sharing"",""งานกองทุน!N78"")"),0)</f>
        <v>0</v>
      </c>
      <c r="J825" s="37">
        <f ca="1">IFERROR(__xludf.DUMMYFUNCTION("IMPORTRANGE(""https://docs.google.com/spreadsheets/d/19vJNZY_5yjcGF2XGBMNZRCAIB0Kwfpjp8YEOfu-bneM/edit?usp=sharing"",""งานกองทุน!P78"")"),0)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IFERROR(__xludf.DUMMYFUNCTION("IMPORTRANGE(""https://docs.google.com/spreadsheets/d/19vJNZY_5yjcGF2XGBMNZRCAIB0Kwfpjp8YEOfu-bneM/edit?usp=sharing"",""งานกองทุน!M78"")"),0)</f>
        <v>0</v>
      </c>
      <c r="J826" s="37">
        <f ca="1">IFERROR(__xludf.DUMMYFUNCTION("IMPORTRANGE(""https://docs.google.com/spreadsheets/d/19vJNZY_5yjcGF2XGBMNZRCAIB0Kwfpjp8YEOfu-bneM/edit?usp=sharing"",""งานกองทุน!O78"")"),0)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IFERROR(__xludf.DUMMYFUNCTION("IMPORTRANGE(""https://docs.google.com/spreadsheets/d/19vJNZY_5yjcGF2XGBMNZRCAIB0Kwfpjp8YEOfu-bneM/edit?usp=sharing"",""งานกองทุน!S78"")"),2280000)</f>
        <v>2280000</v>
      </c>
      <c r="J827" s="37">
        <f ca="1">IFERROR(__xludf.DUMMYFUNCTION("IMPORTRANGE(""https://docs.google.com/spreadsheets/d/19vJNZY_5yjcGF2XGBMNZRCAIB0Kwfpjp8YEOfu-bneM/edit?usp=sharing"",""งานกองทุน!U78"")"),2420000)</f>
        <v>2420000</v>
      </c>
      <c r="K827" s="38">
        <f t="shared" ca="1" si="335"/>
        <v>106.14035087719299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IFERROR(__xludf.DUMMYFUNCTION("IMPORTRANGE(""https://docs.google.com/spreadsheets/d/19vJNZY_5yjcGF2XGBMNZRCAIB0Kwfpjp8YEOfu-bneM/edit?usp=sharing"",""งานกองทุน!R78"")"),91)</f>
        <v>91</v>
      </c>
      <c r="J828" s="365">
        <f ca="1">IFERROR(__xludf.DUMMYFUNCTION("IMPORTRANGE(""https://docs.google.com/spreadsheets/d/19vJNZY_5yjcGF2XGBMNZRCAIB0Kwfpjp8YEOfu-bneM/edit?usp=sharing"",""งานกองทุน!T78"")"),96)</f>
        <v>96</v>
      </c>
      <c r="K828" s="475">
        <f t="shared" ca="1" si="335"/>
        <v>105.49450549450549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B8C4A-2CA1-4A4B-9667-52768078F553}">
  <sheetPr>
    <outlinePr summaryBelow="0" summaryRight="0"/>
    <pageSetUpPr fitToPage="1"/>
  </sheetPr>
  <dimension ref="A1:Z828"/>
  <sheetViews>
    <sheetView showGridLines="0" view="pageBreakPreview" zoomScale="60" zoomScaleNormal="100" workbookViewId="0">
      <selection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3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828"/>
    </row>
    <row r="2" spans="1:26" ht="19">
      <c r="A2" s="763" t="s">
        <v>340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2683594</v>
      </c>
      <c r="M8" s="22">
        <f t="shared" ca="1" si="0"/>
        <v>2971976</v>
      </c>
      <c r="N8" s="22">
        <f t="shared" ca="1" si="0"/>
        <v>2350468.6399999997</v>
      </c>
      <c r="O8" s="22">
        <f t="shared" ref="O8:O16" ca="1" si="1">IF(L8&gt;0,N8*100/L8,0)</f>
        <v>87.586596184072548</v>
      </c>
      <c r="P8" s="22">
        <f t="shared" ref="P8:P16" ca="1" si="2">IF(M8&gt;0,N8*100/M8,0)</f>
        <v>79.087739604895859</v>
      </c>
      <c r="Q8" s="23"/>
      <c r="R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2683594</v>
      </c>
      <c r="M10" s="30">
        <f t="shared" ca="1" si="3"/>
        <v>2971976</v>
      </c>
      <c r="N10" s="30">
        <f t="shared" ca="1" si="3"/>
        <v>2350468.6399999997</v>
      </c>
      <c r="O10" s="30">
        <f t="shared" ca="1" si="1"/>
        <v>87.586596184072548</v>
      </c>
      <c r="P10" s="30">
        <f t="shared" ca="1" si="2"/>
        <v>79.087739604895859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2592794</v>
      </c>
      <c r="M11" s="38">
        <f t="shared" ca="1" si="4"/>
        <v>2881176</v>
      </c>
      <c r="N11" s="38">
        <f t="shared" ca="1" si="4"/>
        <v>2259668.6399999997</v>
      </c>
      <c r="O11" s="38">
        <f t="shared" ca="1" si="1"/>
        <v>87.151877087034279</v>
      </c>
      <c r="P11" s="38">
        <f t="shared" ca="1" si="2"/>
        <v>78.428691617589479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2592794</v>
      </c>
      <c r="M13" s="45">
        <f t="shared" ca="1" si="5"/>
        <v>2881176</v>
      </c>
      <c r="N13" s="45">
        <f t="shared" ca="1" si="5"/>
        <v>2259668.6399999997</v>
      </c>
      <c r="O13" s="45">
        <f t="shared" ca="1" si="1"/>
        <v>87.151877087034279</v>
      </c>
      <c r="P13" s="45">
        <f t="shared" ca="1" si="2"/>
        <v>78.428691617589479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90800</v>
      </c>
      <c r="M14" s="38">
        <f t="shared" ca="1" si="6"/>
        <v>90800</v>
      </c>
      <c r="N14" s="38">
        <f t="shared" ca="1" si="6"/>
        <v>90800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2239962</v>
      </c>
      <c r="N18" s="22">
        <f t="shared" ca="1" si="8"/>
        <v>1762388.64</v>
      </c>
      <c r="O18" s="22">
        <f t="shared" ref="O18:O26" ca="1" si="9">IF(L18&gt;0,N18*100/L18,0)</f>
        <v>90.566074502690171</v>
      </c>
      <c r="P18" s="22">
        <f t="shared" ref="P18:P26" ca="1" si="10">IF(M18&gt;0,N18*100/M18,0)</f>
        <v>78.679399025519189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2239962</v>
      </c>
      <c r="N20" s="30">
        <f t="shared" ca="1" si="11"/>
        <v>1762388.64</v>
      </c>
      <c r="O20" s="30">
        <f t="shared" ca="1" si="9"/>
        <v>90.566074502690171</v>
      </c>
      <c r="P20" s="30">
        <f t="shared" ca="1" si="10"/>
        <v>78.679399025519189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1855170</v>
      </c>
      <c r="M21" s="38">
        <f t="shared" ca="1" si="12"/>
        <v>2149162</v>
      </c>
      <c r="N21" s="38">
        <f t="shared" ca="1" si="12"/>
        <v>1671588.64</v>
      </c>
      <c r="O21" s="38">
        <f t="shared" ca="1" si="9"/>
        <v>90.104337607874214</v>
      </c>
      <c r="P21" s="38">
        <f t="shared" ca="1" si="10"/>
        <v>77.778624412678056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1855170</v>
      </c>
      <c r="M23" s="45">
        <f t="shared" ca="1" si="13"/>
        <v>2149162</v>
      </c>
      <c r="N23" s="45">
        <f t="shared" ca="1" si="13"/>
        <v>1671588.64</v>
      </c>
      <c r="O23" s="45">
        <f t="shared" ca="1" si="9"/>
        <v>90.104337607874214</v>
      </c>
      <c r="P23" s="45">
        <f t="shared" ca="1" si="10"/>
        <v>77.778624412678056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90800</v>
      </c>
      <c r="M24" s="38">
        <f t="shared" ca="1" si="14"/>
        <v>90800</v>
      </c>
      <c r="N24" s="38">
        <f t="shared" ca="1" si="14"/>
        <v>90800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737624</v>
      </c>
      <c r="M28" s="22">
        <f t="shared" ca="1" si="16"/>
        <v>732014</v>
      </c>
      <c r="N28" s="22">
        <f t="shared" si="16"/>
        <v>588080</v>
      </c>
      <c r="O28" s="22">
        <f t="shared" ref="O28:O37" ca="1" si="17">IF(L28&gt;0,N28*100/L28,0)</f>
        <v>79.726256195568467</v>
      </c>
      <c r="P28" s="22">
        <f t="shared" ref="P28:P37" ca="1" si="18">IF(M28&gt;0,N28*100/M28,0)</f>
        <v>80.337261309209936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737624</v>
      </c>
      <c r="M30" s="30">
        <f t="shared" ca="1" si="19"/>
        <v>732014</v>
      </c>
      <c r="N30" s="30">
        <f t="shared" si="19"/>
        <v>588080</v>
      </c>
      <c r="O30" s="30">
        <f t="shared" ca="1" si="17"/>
        <v>79.726256195568467</v>
      </c>
      <c r="P30" s="30">
        <f t="shared" ca="1" si="18"/>
        <v>80.337261309209936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737624</v>
      </c>
      <c r="M31" s="38">
        <f t="shared" ca="1" si="20"/>
        <v>732014</v>
      </c>
      <c r="N31" s="38">
        <f t="shared" si="20"/>
        <v>588080</v>
      </c>
      <c r="O31" s="38">
        <f t="shared" ca="1" si="17"/>
        <v>79.726256195568467</v>
      </c>
      <c r="P31" s="38">
        <f t="shared" ca="1" si="18"/>
        <v>80.337261309209936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737624</v>
      </c>
      <c r="M33" s="45">
        <f t="shared" ca="1" si="21"/>
        <v>732014</v>
      </c>
      <c r="N33" s="45">
        <f t="shared" si="21"/>
        <v>588080</v>
      </c>
      <c r="O33" s="45">
        <f t="shared" ca="1" si="17"/>
        <v>79.726256195568467</v>
      </c>
      <c r="P33" s="45">
        <f t="shared" ca="1" si="18"/>
        <v>80.337261309209936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1945970</v>
      </c>
      <c r="M37" s="792">
        <f t="shared" ca="1" si="24"/>
        <v>2239962</v>
      </c>
      <c r="N37" s="792">
        <f t="shared" ca="1" si="24"/>
        <v>1762388.64</v>
      </c>
      <c r="O37" s="792">
        <f t="shared" ca="1" si="17"/>
        <v>90.566074502690171</v>
      </c>
      <c r="P37" s="792">
        <f t="shared" ca="1" si="18"/>
        <v>78.679399025519189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485452</v>
      </c>
      <c r="N41" s="85">
        <f t="shared" ca="1" si="25"/>
        <v>400952</v>
      </c>
      <c r="O41" s="85">
        <f t="shared" ref="O41:O49" ca="1" si="26">IF(L41&gt;0,N41*100/L41,0)</f>
        <v>146.78821160534505</v>
      </c>
      <c r="P41" s="85">
        <f t="shared" ref="P41:P49" ca="1" si="27">IF(M41&gt;0,N41*100/M41,0)</f>
        <v>82.59354168898264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485452</v>
      </c>
      <c r="N43" s="92">
        <f t="shared" ca="1" si="28"/>
        <v>400952</v>
      </c>
      <c r="O43" s="92">
        <f t="shared" ca="1" si="26"/>
        <v>146.78821160534505</v>
      </c>
      <c r="P43" s="92">
        <f t="shared" ca="1" si="27"/>
        <v>82.59354168898264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273150</v>
      </c>
      <c r="M44" s="38">
        <f t="shared" ca="1" si="29"/>
        <v>485452</v>
      </c>
      <c r="N44" s="38">
        <f t="shared" ca="1" si="29"/>
        <v>400952</v>
      </c>
      <c r="O44" s="38">
        <f t="shared" ca="1" si="26"/>
        <v>146.78821160534505</v>
      </c>
      <c r="P44" s="38">
        <f t="shared" ca="1" si="27"/>
        <v>82.59354168898264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IFERROR(__xludf.DUMMYFUNCTION("IMPORTRANGE(""https://docs.google.com/spreadsheets/d/1MeEWN-I1oV_STSDYn1IFDPWt_1FKiwhDph83XaGc0o0/edit?usp=sharing"",""งบพรบ!M79"")"),273150)</f>
        <v>273150</v>
      </c>
      <c r="M46" s="45">
        <f ca="1">IFERROR(__xludf.DUMMYFUNCTION("IMPORTRANGE(""https://docs.google.com/spreadsheets/d/1MeEWN-I1oV_STSDYn1IFDPWt_1FKiwhDph83XaGc0o0/edit?usp=sharing"",""งบพรบ!R79"")"),485452)</f>
        <v>485452</v>
      </c>
      <c r="N46" s="45">
        <f ca="1">IFERROR(__xludf.DUMMYFUNCTION("IMPORTRANGE(""https://docs.google.com/spreadsheets/d/1MeEWN-I1oV_STSDYn1IFDPWt_1FKiwhDph83XaGc0o0/edit?usp=sharing"",""งบพรบ!T79"")"),400952)</f>
        <v>400952</v>
      </c>
      <c r="O46" s="45">
        <f t="shared" ca="1" si="26"/>
        <v>146.78821160534505</v>
      </c>
      <c r="P46" s="45">
        <f t="shared" ca="1" si="27"/>
        <v>82.59354168898264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559000</v>
      </c>
      <c r="M53" s="115">
        <f t="shared" ca="1" si="31"/>
        <v>559000</v>
      </c>
      <c r="N53" s="115">
        <f t="shared" ca="1" si="31"/>
        <v>454560.72</v>
      </c>
      <c r="O53" s="115">
        <f t="shared" ref="O53:O61" ca="1" si="32">IF(L53&gt;0,N53*100/L53,0)</f>
        <v>81.316765652951702</v>
      </c>
      <c r="P53" s="115">
        <f t="shared" ref="P53:P61" ca="1" si="33">IF(M53&gt;0,N53*100/M53,0)</f>
        <v>81.316765652951702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559000</v>
      </c>
      <c r="M55" s="122">
        <f t="shared" ca="1" si="34"/>
        <v>559000</v>
      </c>
      <c r="N55" s="122">
        <f t="shared" ca="1" si="34"/>
        <v>454560.72</v>
      </c>
      <c r="O55" s="122">
        <f t="shared" ca="1" si="32"/>
        <v>81.316765652951702</v>
      </c>
      <c r="P55" s="122">
        <f t="shared" ca="1" si="33"/>
        <v>81.316765652951702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559000</v>
      </c>
      <c r="M56" s="38">
        <f t="shared" ca="1" si="35"/>
        <v>559000</v>
      </c>
      <c r="N56" s="38">
        <f t="shared" ca="1" si="35"/>
        <v>454560.72</v>
      </c>
      <c r="O56" s="38">
        <f t="shared" ca="1" si="32"/>
        <v>81.316765652951702</v>
      </c>
      <c r="P56" s="38">
        <f t="shared" ca="1" si="33"/>
        <v>81.316765652951702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IFERROR(__xludf.DUMMYFUNCTION("IMPORTRANGE(""https://docs.google.com/spreadsheets/d/1MeEWN-I1oV_STSDYn1IFDPWt_1FKiwhDph83XaGc0o0/edit?usp=sharing"",""งบพรบ!W79"")"),559000)</f>
        <v>559000</v>
      </c>
      <c r="M58" s="45">
        <f ca="1">IFERROR(__xludf.DUMMYFUNCTION("IMPORTRANGE(""https://docs.google.com/spreadsheets/d/1MeEWN-I1oV_STSDYn1IFDPWt_1FKiwhDph83XaGc0o0/edit?usp=sharing"",""งบพรบ!AB79"")"),559000)</f>
        <v>559000</v>
      </c>
      <c r="N58" s="45">
        <f ca="1">IFERROR(__xludf.DUMMYFUNCTION("IMPORTRANGE(""https://docs.google.com/spreadsheets/d/1MeEWN-I1oV_STSDYn1IFDPWt_1FKiwhDph83XaGc0o0/edit?usp=sharing"",""งบพรบ!AD79"")"),454560.72)</f>
        <v>454560.72</v>
      </c>
      <c r="O58" s="45">
        <f t="shared" ca="1" si="32"/>
        <v>81.316765652951702</v>
      </c>
      <c r="P58" s="45">
        <f t="shared" ca="1" si="33"/>
        <v>81.316765652951702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IFERROR(__xludf.DUMMYFUNCTION("IMPORTRANGE(""https://docs.google.com/spreadsheets/d/1MeEWN-I1oV_STSDYn1IFDPWt_1FKiwhDph83XaGc0o0/edit?usp=sharing"",""งบพรบ!AG79"")"),0)</f>
        <v>0</v>
      </c>
      <c r="M71" s="45">
        <f ca="1">IFERROR(__xludf.DUMMYFUNCTION("IMPORTRANGE(""https://docs.google.com/spreadsheets/d/1MeEWN-I1oV_STSDYn1IFDPWt_1FKiwhDph83XaGc0o0/edit?usp=sharing"",""งบพรบ!AL79"")"),0)</f>
        <v>0</v>
      </c>
      <c r="N71" s="45">
        <f ca="1">IFERROR(__xludf.DUMMYFUNCTION("IMPORTRANGE(""https://docs.google.com/spreadsheets/d/1MeEWN-I1oV_STSDYn1IFDPWt_1FKiwhDph83XaGc0o0/edit?usp=sharing"",""งบพรบ!AN79"")"),0)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IFERROR(__xludf.DUMMYFUNCTION("IMPORTRANGE(""https://docs.google.com/spreadsheets/d/1MeEWN-I1oV_STSDYn1IFDPWt_1FKiwhDph83XaGc0o0/edit?usp=sharing"",""งบพรบ!AJ79"")"),0)</f>
        <v>0</v>
      </c>
      <c r="M74" s="45">
        <f ca="1">IFERROR(__xludf.DUMMYFUNCTION("IMPORTRANGE(""https://docs.google.com/spreadsheets/d/1MeEWN-I1oV_STSDYn1IFDPWt_1FKiwhDph83XaGc0o0/edit?usp=sharing"",""งบพรบ!AM79"")"),0)</f>
        <v>0</v>
      </c>
      <c r="N74" s="45">
        <f ca="1">IFERROR(__xludf.DUMMYFUNCTION("IMPORTRANGE(""https://docs.google.com/spreadsheets/d/1MeEWN-I1oV_STSDYn1IFDPWt_1FKiwhDph83XaGc0o0/edit?usp=sharing"",""งบพรบ!AO79"")"),0)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IFERROR(__xludf.DUMMYFUNCTION("IMPORTRANGE(""https://docs.google.com/spreadsheets/d/1QqKyyYR6Q21VydFLVH3TRQUabQu_ym0Zz7PgGX0-kHA/edit?usp=sharing"",""แผน!H79"")"),0)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IFERROR(__xludf.DUMMYFUNCTION("IMPORTRANGE(""https://docs.google.com/spreadsheets/d/1QqKyyYR6Q21VydFLVH3TRQUabQu_ym0Zz7PgGX0-kHA/edit?usp=sharing"",""แผน!I79"")"),0)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IFERROR(__xludf.DUMMYFUNCTION("IMPORTRANGE(""https://docs.google.com/spreadsheets/d/1QqKyyYR6Q21VydFLVH3TRQUabQu_ym0Zz7PgGX0-kHA/edit?usp=sharing"",""แผน!F79"")"),0)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IFERROR(__xludf.DUMMYFUNCTION("IMPORTRANGE(""https://docs.google.com/spreadsheets/d/1QqKyyYR6Q21VydFLVH3TRQUabQu_ym0Zz7PgGX0-kHA/edit?usp=sharing"",""แผน!G79"")"),0)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IFERROR(__xludf.DUMMYFUNCTION("IMPORTRANGE(""https://docs.google.com/spreadsheets/d/1QqKyyYR6Q21VydFLVH3TRQUabQu_ym0Zz7PgGX0-kHA/edit?usp=sharing"",""แผน!D79"")"),0)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IFERROR(__xludf.DUMMYFUNCTION("IMPORTRANGE(""https://docs.google.com/spreadsheets/d/1QqKyyYR6Q21VydFLVH3TRQUabQu_ym0Zz7PgGX0-kHA/edit?usp=sharing"",""แผน!E79"")"),0)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IFERROR(__xludf.DUMMYFUNCTION("IMPORTRANGE(""https://docs.google.com/spreadsheets/d/1QqKyyYR6Q21VydFLVH3TRQUabQu_ym0Zz7PgGX0-kHA/edit?usp=sharing"",""แผน!J79"")"),0)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75</v>
      </c>
      <c r="J86" s="143">
        <f t="shared" si="47"/>
        <v>75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25</v>
      </c>
      <c r="J87" s="143">
        <f t="shared" si="47"/>
        <v>25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237000</v>
      </c>
      <c r="M88" s="154">
        <f t="shared" ca="1" si="49"/>
        <v>237000</v>
      </c>
      <c r="N88" s="154">
        <f t="shared" ca="1" si="49"/>
        <v>188647.33</v>
      </c>
      <c r="O88" s="154">
        <f t="shared" ref="O88:O96" ca="1" si="50">IF(L88&gt;0,N88*100/L88,0)</f>
        <v>79.598029535864981</v>
      </c>
      <c r="P88" s="154">
        <f t="shared" ref="P88:P96" ca="1" si="51">IF(M88&gt;0,N88*100/M88,0)</f>
        <v>79.598029535864981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237000</v>
      </c>
      <c r="M90" s="45">
        <f t="shared" ca="1" si="52"/>
        <v>237000</v>
      </c>
      <c r="N90" s="45">
        <f t="shared" ca="1" si="52"/>
        <v>188647.33</v>
      </c>
      <c r="O90" s="45">
        <f t="shared" ca="1" si="50"/>
        <v>79.598029535864981</v>
      </c>
      <c r="P90" s="45">
        <f t="shared" ca="1" si="51"/>
        <v>79.598029535864981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237000</v>
      </c>
      <c r="M91" s="38">
        <f t="shared" ca="1" si="53"/>
        <v>237000</v>
      </c>
      <c r="N91" s="38">
        <f t="shared" ca="1" si="53"/>
        <v>188647.33</v>
      </c>
      <c r="O91" s="38">
        <f t="shared" ca="1" si="50"/>
        <v>79.598029535864981</v>
      </c>
      <c r="P91" s="38">
        <f t="shared" ca="1" si="51"/>
        <v>79.598029535864981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IFERROR(__xludf.DUMMYFUNCTION("IMPORTRANGE(""https://docs.google.com/spreadsheets/d/1MeEWN-I1oV_STSDYn1IFDPWt_1FKiwhDph83XaGc0o0/edit?usp=sharing"",""งบพรบ!AQ79"")"),237000)</f>
        <v>237000</v>
      </c>
      <c r="M93" s="45">
        <f ca="1">IFERROR(__xludf.DUMMYFUNCTION("IMPORTRANGE(""https://docs.google.com/spreadsheets/d/1MeEWN-I1oV_STSDYn1IFDPWt_1FKiwhDph83XaGc0o0/edit?usp=sharing"",""งบพรบ!AV79"")"),237000)</f>
        <v>237000</v>
      </c>
      <c r="N93" s="45">
        <f ca="1">IFERROR(__xludf.DUMMYFUNCTION("IMPORTRANGE(""https://docs.google.com/spreadsheets/d/1MeEWN-I1oV_STSDYn1IFDPWt_1FKiwhDph83XaGc0o0/edit?usp=sharing"",""งบพรบ!AX79"")"),188647.33)</f>
        <v>188647.33</v>
      </c>
      <c r="O93" s="45">
        <f t="shared" ca="1" si="50"/>
        <v>79.598029535864981</v>
      </c>
      <c r="P93" s="45">
        <f t="shared" ca="1" si="51"/>
        <v>79.598029535864981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IFERROR(__xludf.DUMMYFUNCTION("IMPORTRANGE(""https://docs.google.com/spreadsheets/d/1MeEWN-I1oV_STSDYn1IFDPWt_1FKiwhDph83XaGc0o0/edit?usp=sharing"",""งบพรบ!AT79"")"),0)</f>
        <v>0</v>
      </c>
      <c r="M96" s="45">
        <f ca="1">IFERROR(__xludf.DUMMYFUNCTION("IMPORTRANGE(""https://docs.google.com/spreadsheets/d/1MeEWN-I1oV_STSDYn1IFDPWt_1FKiwhDph83XaGc0o0/edit?usp=sharing"",""งบพรบ!AW79"")"),0)</f>
        <v>0</v>
      </c>
      <c r="N96" s="45">
        <f ca="1">IFERROR(__xludf.DUMMYFUNCTION("IMPORTRANGE(""https://docs.google.com/spreadsheets/d/1MeEWN-I1oV_STSDYn1IFDPWt_1FKiwhDph83XaGc0o0/edit?usp=sharing"",""งบพรบ!AY79"")"),0)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IFERROR(__xludf.DUMMYFUNCTION("IMPORTRANGE(""https://docs.google.com/spreadsheets/d/1QqKyyYR6Q21VydFLVH3TRQUabQu_ym0Zz7PgGX0-kHA/edit?usp=sharing"",""แผน!K79"")"),75)</f>
        <v>75</v>
      </c>
      <c r="J98" s="37">
        <f>J102</f>
        <v>75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IFERROR(__xludf.DUMMYFUNCTION("IMPORTRANGE(""https://docs.google.com/spreadsheets/d/1QqKyyYR6Q21VydFLVH3TRQUabQu_ym0Zz7PgGX0-kHA/edit?usp=sharing"",""แผน!L79"")"),25)</f>
        <v>25</v>
      </c>
      <c r="J99" s="37">
        <f>J104</f>
        <v>25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IFERROR(__xludf.DUMMYFUNCTION("IMPORTRANGE(""https://docs.google.com/spreadsheets/d/1QqKyyYR6Q21VydFLVH3TRQUabQu_ym0Zz7PgGX0-kHA/edit?usp=sharing"",""แผน!M79"")"),1)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IFERROR(__xludf.DUMMYFUNCTION("IMPORTRANGE(""https://docs.google.com/spreadsheets/d/1QqKyyYR6Q21VydFLVH3TRQUabQu_ym0Zz7PgGX0-kHA/edit?usp=sharing"",""แผน!N79"")"),75)</f>
        <v>75</v>
      </c>
      <c r="J102" s="181">
        <v>75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IFERROR(__xludf.DUMMYFUNCTION("IMPORTRANGE(""https://docs.google.com/spreadsheets/d/1QqKyyYR6Q21VydFLVH3TRQUabQu_ym0Zz7PgGX0-kHA/edit?usp=sharing"",""แผน!O79"")"),25)</f>
        <v>25</v>
      </c>
      <c r="J103" s="181">
        <v>25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IFERROR(__xludf.DUMMYFUNCTION("IMPORTRANGE(""https://docs.google.com/spreadsheets/d/1QqKyyYR6Q21VydFLVH3TRQUabQu_ym0Zz7PgGX0-kHA/edit?usp=sharing"",""แผน!O79"")"),25)</f>
        <v>25</v>
      </c>
      <c r="J104" s="181">
        <v>25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IFERROR(__xludf.DUMMYFUNCTION("IMPORTRANGE(""https://docs.google.com/spreadsheets/d/1QqKyyYR6Q21VydFLVH3TRQUabQu_ym0Zz7PgGX0-kHA/edit?usp=sharing"",""แผน!P79"")"),1)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IFERROR(__xludf.DUMMYFUNCTION("IMPORTRANGE(""https://docs.google.com/spreadsheets/d/1QqKyyYR6Q21VydFLVH3TRQUabQu_ym0Zz7PgGX0-kHA/edit?usp=sharing"",""แผน!P79"")"),1)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IFERROR(__xludf.DUMMYFUNCTION("IMPORTRANGE(""https://docs.google.com/spreadsheets/d/1QqKyyYR6Q21VydFLVH3TRQUabQu_ym0Zz7PgGX0-kHA/edit?usp=sharing"",""แผน!Q79"")"),0)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IFERROR(__xludf.DUMMYFUNCTION("IMPORTRANGE(""https://docs.google.com/spreadsheets/d/1QqKyyYR6Q21VydFLVH3TRQUabQu_ym0Zz7PgGX0-kHA/edit?usp=sharing"",""แผน!Q79"")"),0)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IFERROR(__xludf.DUMMYFUNCTION("IMPORTRANGE(""https://docs.google.com/spreadsheets/d/1QqKyyYR6Q21VydFLVH3TRQUabQu_ym0Zz7PgGX0-kHA/edit?usp=sharing"",""แผน!R79"")"),25)</f>
        <v>25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IFERROR(__xludf.DUMMYFUNCTION("IMPORTRANGE(""https://docs.google.com/spreadsheets/d/1QqKyyYR6Q21VydFLVH3TRQUabQu_ym0Zz7PgGX0-kHA/edit?usp=sharing"",""แผน!R79"")"),25)</f>
        <v>25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IFERROR(__xludf.DUMMYFUNCTION("IMPORTRANGE(""https://docs.google.com/spreadsheets/d/1QqKyyYR6Q21VydFLVH3TRQUabQu_ym0Zz7PgGX0-kHA/edit?usp=sharing"",""แผน!R79"")"),25)</f>
        <v>25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IFERROR(__xludf.DUMMYFUNCTION("IMPORTRANGE(""https://docs.google.com/spreadsheets/d/1QqKyyYR6Q21VydFLVH3TRQUabQu_ym0Zz7PgGX0-kHA/edit?usp=sharing"",""แผน!S79"")"),1)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IFERROR(__xludf.DUMMYFUNCTION("IMPORTRANGE(""https://docs.google.com/spreadsheets/d/1QqKyyYR6Q21VydFLVH3TRQUabQu_ym0Zz7PgGX0-kHA/edit?usp=sharing"",""แผน!T79"")"),0)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IFERROR(__xludf.DUMMYFUNCTION("IMPORTRANGE(""https://docs.google.com/spreadsheets/d/1MeEWN-I1oV_STSDYn1IFDPWt_1FKiwhDph83XaGc0o0/edit?usp=sharing"",""งบพรบ!BA79"")"),0)</f>
        <v>0</v>
      </c>
      <c r="M124" s="45">
        <f ca="1">IFERROR(__xludf.DUMMYFUNCTION("IMPORTRANGE(""https://docs.google.com/spreadsheets/d/1MeEWN-I1oV_STSDYn1IFDPWt_1FKiwhDph83XaGc0o0/edit?usp=sharing"",""งบพรบ!BF79"")"),0)</f>
        <v>0</v>
      </c>
      <c r="N124" s="45">
        <f ca="1">IFERROR(__xludf.DUMMYFUNCTION("IMPORTRANGE(""https://docs.google.com/spreadsheets/d/1MeEWN-I1oV_STSDYn1IFDPWt_1FKiwhDph83XaGc0o0/edit?usp=sharing"",""งบพรบ!BH79"")"),0)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IFERROR(__xludf.DUMMYFUNCTION("IMPORTRANGE(""https://docs.google.com/spreadsheets/d/1MeEWN-I1oV_STSDYn1IFDPWt_1FKiwhDph83XaGc0o0/edit?usp=sharing"",""งบพรบ!BD79"")"),0)</f>
        <v>0</v>
      </c>
      <c r="M127" s="45">
        <f ca="1">IFERROR(__xludf.DUMMYFUNCTION("IMPORTRANGE(""https://docs.google.com/spreadsheets/d/1MeEWN-I1oV_STSDYn1IFDPWt_1FKiwhDph83XaGc0o0/edit?usp=sharing"",""งบพรบ!BG79"")"),0)</f>
        <v>0</v>
      </c>
      <c r="N127" s="45">
        <f ca="1">IFERROR(__xludf.DUMMYFUNCTION("IMPORTRANGE(""https://docs.google.com/spreadsheets/d/1MeEWN-I1oV_STSDYn1IFDPWt_1FKiwhDph83XaGc0o0/edit?usp=sharing"",""งบพรบ!BI79"")"),0)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IFERROR(__xludf.DUMMYFUNCTION("IMPORTRANGE(""https://docs.google.com/spreadsheets/d/1MeEWN-I1oV_STSDYn1IFDPWt_1FKiwhDph83XaGc0o0/edit?usp=sharing"",""งบพรบ!BK79"")"),0)</f>
        <v>0</v>
      </c>
      <c r="M137" s="45">
        <f ca="1">IFERROR(__xludf.DUMMYFUNCTION("IMPORTRANGE(""https://docs.google.com/spreadsheets/d/1MeEWN-I1oV_STSDYn1IFDPWt_1FKiwhDph83XaGc0o0/edit?usp=sharing"",""งบพรบ!BP79"")"),0)</f>
        <v>0</v>
      </c>
      <c r="N137" s="45">
        <f ca="1">IFERROR(__xludf.DUMMYFUNCTION("IMPORTRANGE(""https://docs.google.com/spreadsheets/d/1MeEWN-I1oV_STSDYn1IFDPWt_1FKiwhDph83XaGc0o0/edit?usp=sharing"",""งบพรบ!BR79"")"),0)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IFERROR(__xludf.DUMMYFUNCTION("IMPORTRANGE(""https://docs.google.com/spreadsheets/d/1MeEWN-I1oV_STSDYn1IFDPWt_1FKiwhDph83XaGc0o0/edit?usp=sharing"",""งบพรบ!BN79"")"),0)</f>
        <v>0</v>
      </c>
      <c r="M140" s="45">
        <f ca="1">IFERROR(__xludf.DUMMYFUNCTION("IMPORTRANGE(""https://docs.google.com/spreadsheets/d/1MeEWN-I1oV_STSDYn1IFDPWt_1FKiwhDph83XaGc0o0/edit?usp=sharing"",""งบพรบ!BQ79"")"),0)</f>
        <v>0</v>
      </c>
      <c r="N140" s="45">
        <f ca="1">IFERROR(__xludf.DUMMYFUNCTION("IMPORTRANGE(""https://docs.google.com/spreadsheets/d/1MeEWN-I1oV_STSDYn1IFDPWt_1FKiwhDph83XaGc0o0/edit?usp=sharing"",""งบพรบ!BS79"")"),0)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IFERROR(__xludf.DUMMYFUNCTION("IMPORTRANGE(""https://docs.google.com/spreadsheets/d/1QqKyyYR6Q21VydFLVH3TRQUabQu_ym0Zz7PgGX0-kHA/edit?usp=sharing"",""แผน!U79"")"),0)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IFERROR(__xludf.DUMMYFUNCTION("IMPORTRANGE(""https://docs.google.com/spreadsheets/d/1QqKyyYR6Q21VydFLVH3TRQUabQu_ym0Zz7PgGX0-kHA/edit?usp=sharing"",""แผน!V79"")"),0)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IFERROR(__xludf.DUMMYFUNCTION("IMPORTRANGE(""https://docs.google.com/spreadsheets/d/1QqKyyYR6Q21VydFLVH3TRQUabQu_ym0Zz7PgGX0-kHA/edit?usp=sharing"",""แผน!W79"")"),0)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IFERROR(__xludf.DUMMYFUNCTION("IMPORTRANGE(""https://docs.google.com/spreadsheets/d/1MeEWN-I1oV_STSDYn1IFDPWt_1FKiwhDph83XaGc0o0/edit?usp=sharing"",""งบพรบ!BU79"")"),0)</f>
        <v>0</v>
      </c>
      <c r="M154" s="45">
        <f ca="1">IFERROR(__xludf.DUMMYFUNCTION("IMPORTRANGE(""https://docs.google.com/spreadsheets/d/1MeEWN-I1oV_STSDYn1IFDPWt_1FKiwhDph83XaGc0o0/edit?usp=sharing"",""งบพรบ!BZ79"")"),0)</f>
        <v>0</v>
      </c>
      <c r="N154" s="45">
        <f ca="1">IFERROR(__xludf.DUMMYFUNCTION("IMPORTRANGE(""https://docs.google.com/spreadsheets/d/1MeEWN-I1oV_STSDYn1IFDPWt_1FKiwhDph83XaGc0o0/edit?usp=sharing"",""งบพรบ!CB79"")"),0)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IFERROR(__xludf.DUMMYFUNCTION("IMPORTRANGE(""https://docs.google.com/spreadsheets/d/1MeEWN-I1oV_STSDYn1IFDPWt_1FKiwhDph83XaGc0o0/edit?usp=sharing"",""งบพรบ!BX79"")"),0)</f>
        <v>0</v>
      </c>
      <c r="M157" s="45">
        <f ca="1">IFERROR(__xludf.DUMMYFUNCTION("IMPORTRANGE(""https://docs.google.com/spreadsheets/d/1MeEWN-I1oV_STSDYn1IFDPWt_1FKiwhDph83XaGc0o0/edit?usp=sharing"",""งบพรบ!CA79"")"),0)</f>
        <v>0</v>
      </c>
      <c r="N157" s="45">
        <f ca="1">IFERROR(__xludf.DUMMYFUNCTION("IMPORTRANGE(""https://docs.google.com/spreadsheets/d/1MeEWN-I1oV_STSDYn1IFDPWt_1FKiwhDph83XaGc0o0/edit?usp=sharing"",""งบพรบ!CC79"")"),0)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IFERROR(__xludf.DUMMYFUNCTION("IMPORTRANGE(""https://docs.google.com/spreadsheets/d/1QqKyyYR6Q21VydFLVH3TRQUabQu_ym0Zz7PgGX0-kHA/edit?usp=sharing"",""แผน!X79"")"),0)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47740</v>
      </c>
      <c r="N165" s="154">
        <f t="shared" ca="1" si="84"/>
        <v>47740</v>
      </c>
      <c r="O165" s="154">
        <f t="shared" ref="O165:O173" ca="1" si="85">IF(L165&gt;0,N165*100/L165,0)</f>
        <v>226.79334916864607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47740</v>
      </c>
      <c r="N167" s="45">
        <f t="shared" ca="1" si="87"/>
        <v>47740</v>
      </c>
      <c r="O167" s="45">
        <f t="shared" ca="1" si="85"/>
        <v>226.79334916864607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47740</v>
      </c>
      <c r="N168" s="38">
        <f t="shared" ca="1" si="88"/>
        <v>47740</v>
      </c>
      <c r="O168" s="38">
        <f t="shared" ca="1" si="85"/>
        <v>226.79334916864607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IFERROR(__xludf.DUMMYFUNCTION("IMPORTRANGE(""https://docs.google.com/spreadsheets/d/1MeEWN-I1oV_STSDYn1IFDPWt_1FKiwhDph83XaGc0o0/edit?usp=sharing"",""งบพรบ!CE79"")"),21050)</f>
        <v>21050</v>
      </c>
      <c r="M170" s="45">
        <f ca="1">IFERROR(__xludf.DUMMYFUNCTION("IMPORTRANGE(""https://docs.google.com/spreadsheets/d/1MeEWN-I1oV_STSDYn1IFDPWt_1FKiwhDph83XaGc0o0/edit?usp=sharing"",""งบพรบ!CJ79"")"),47740)</f>
        <v>47740</v>
      </c>
      <c r="N170" s="45">
        <f ca="1">IFERROR(__xludf.DUMMYFUNCTION("IMPORTRANGE(""https://docs.google.com/spreadsheets/d/1MeEWN-I1oV_STSDYn1IFDPWt_1FKiwhDph83XaGc0o0/edit?usp=sharing"",""งบพรบ!CL79"")"),47740)</f>
        <v>47740</v>
      </c>
      <c r="O170" s="45">
        <f t="shared" ca="1" si="85"/>
        <v>226.79334916864607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IFERROR(__xludf.DUMMYFUNCTION("IMPORTRANGE(""https://docs.google.com/spreadsheets/d/1MeEWN-I1oV_STSDYn1IFDPWt_1FKiwhDph83XaGc0o0/edit?usp=sharing"",""งบพรบ!CH79"")"),0)</f>
        <v>0</v>
      </c>
      <c r="M173" s="45">
        <f ca="1">IFERROR(__xludf.DUMMYFUNCTION("IMPORTRANGE(""https://docs.google.com/spreadsheets/d/1MeEWN-I1oV_STSDYn1IFDPWt_1FKiwhDph83XaGc0o0/edit?usp=sharing"",""งบพรบ!CK79"")"),0)</f>
        <v>0</v>
      </c>
      <c r="N173" s="45">
        <f ca="1">IFERROR(__xludf.DUMMYFUNCTION("IMPORTRANGE(""https://docs.google.com/spreadsheets/d/1MeEWN-I1oV_STSDYn1IFDPWt_1FKiwhDph83XaGc0o0/edit?usp=sharing"",""งบพรบ!CM79"")"),0)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IFERROR(__xludf.DUMMYFUNCTION("IMPORTRANGE(""https://docs.google.com/spreadsheets/d/1QqKyyYR6Q21VydFLVH3TRQUabQu_ym0Zz7PgGX0-kHA/edit?usp=sharing"",""แผน!Y79"")"),10)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281000</v>
      </c>
      <c r="M181" s="154">
        <f t="shared" ca="1" si="92"/>
        <v>281000</v>
      </c>
      <c r="N181" s="154">
        <f t="shared" ca="1" si="92"/>
        <v>220616.79</v>
      </c>
      <c r="O181" s="154">
        <f t="shared" ref="O181:O189" ca="1" si="93">IF(L181&gt;0,N181*100/L181,0)</f>
        <v>78.511313167259786</v>
      </c>
      <c r="P181" s="154">
        <f t="shared" ref="P181:P189" ca="1" si="94">IF(M181&gt;0,N181*100/M181,0)</f>
        <v>78.511313167259786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281000</v>
      </c>
      <c r="M183" s="45">
        <f t="shared" ca="1" si="95"/>
        <v>281000</v>
      </c>
      <c r="N183" s="45">
        <f t="shared" ca="1" si="95"/>
        <v>220616.79</v>
      </c>
      <c r="O183" s="45">
        <f t="shared" ca="1" si="93"/>
        <v>78.511313167259786</v>
      </c>
      <c r="P183" s="45">
        <f t="shared" ca="1" si="94"/>
        <v>78.511313167259786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281000</v>
      </c>
      <c r="M184" s="38">
        <f t="shared" ca="1" si="96"/>
        <v>281000</v>
      </c>
      <c r="N184" s="38">
        <f t="shared" ca="1" si="96"/>
        <v>220616.79</v>
      </c>
      <c r="O184" s="38">
        <f t="shared" ca="1" si="93"/>
        <v>78.511313167259786</v>
      </c>
      <c r="P184" s="38">
        <f t="shared" ca="1" si="94"/>
        <v>78.511313167259786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IFERROR(__xludf.DUMMYFUNCTION("IMPORTRANGE(""https://docs.google.com/spreadsheets/d/1MeEWN-I1oV_STSDYn1IFDPWt_1FKiwhDph83XaGc0o0/edit?usp=sharing"",""งบพรบ!CO79"")"),281000)</f>
        <v>281000</v>
      </c>
      <c r="M186" s="45">
        <f ca="1">IFERROR(__xludf.DUMMYFUNCTION("IMPORTRANGE(""https://docs.google.com/spreadsheets/d/1MeEWN-I1oV_STSDYn1IFDPWt_1FKiwhDph83XaGc0o0/edit?usp=sharing"",""งบพรบ!CT79"")"),281000)</f>
        <v>281000</v>
      </c>
      <c r="N186" s="45">
        <f ca="1">IFERROR(__xludf.DUMMYFUNCTION("IMPORTRANGE(""https://docs.google.com/spreadsheets/d/1MeEWN-I1oV_STSDYn1IFDPWt_1FKiwhDph83XaGc0o0/edit?usp=sharing"",""งบพรบ!CV79"")"),220616.79)</f>
        <v>220616.79</v>
      </c>
      <c r="O186" s="45">
        <f t="shared" ca="1" si="93"/>
        <v>78.511313167259786</v>
      </c>
      <c r="P186" s="45">
        <f t="shared" ca="1" si="94"/>
        <v>78.511313167259786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IFERROR(__xludf.DUMMYFUNCTION("IMPORTRANGE(""https://docs.google.com/spreadsheets/d/1MeEWN-I1oV_STSDYn1IFDPWt_1FKiwhDph83XaGc0o0/edit?usp=sharing"",""งบพรบ!CR79"")"),0)</f>
        <v>0</v>
      </c>
      <c r="M189" s="45">
        <f ca="1">IFERROR(__xludf.DUMMYFUNCTION("IMPORTRANGE(""https://docs.google.com/spreadsheets/d/1MeEWN-I1oV_STSDYn1IFDPWt_1FKiwhDph83XaGc0o0/edit?usp=sharing"",""งบพรบ!CU79"")"),0)</f>
        <v>0</v>
      </c>
      <c r="N189" s="45">
        <f ca="1">IFERROR(__xludf.DUMMYFUNCTION("IMPORTRANGE(""https://docs.google.com/spreadsheets/d/1MeEWN-I1oV_STSDYn1IFDPWt_1FKiwhDph83XaGc0o0/edit?usp=sharing"",""งบพรบ!CW79"")"),0)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4</v>
      </c>
      <c r="K190" s="261">
        <f ca="1">IF(I190&gt;0,J190*100/I190,0)</f>
        <v>100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IFERROR(__xludf.DUMMYFUNCTION("IMPORTRANGE(""https://docs.google.com/spreadsheets/d/1QqKyyYR6Q21VydFLVH3TRQUabQu_ym0Zz7PgGX0-kHA/edit?usp=sharing"",""แผน!Z79"")"),6000)</f>
        <v>6000</v>
      </c>
      <c r="M191" s="154"/>
      <c r="N191" s="264">
        <f>[1]ผลการเบิกจ่ายเงินงบประมาณ!G28</f>
        <v>5400</v>
      </c>
      <c r="O191" s="154">
        <f ca="1">IF(L191&gt;0,N191*100/L191,0)</f>
        <v>90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IFERROR(__xludf.DUMMYFUNCTION("IMPORTRANGE(""https://docs.google.com/spreadsheets/d/1QqKyyYR6Q21VydFLVH3TRQUabQu_ym0Zz7PgGX0-kHA/edit?usp=sharing"",""แผน!AC79"")"),4)</f>
        <v>4</v>
      </c>
      <c r="J193" s="181">
        <v>4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336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336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 hidden="1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0</v>
      </c>
      <c r="J197" s="260">
        <f t="shared" si="99"/>
        <v>0</v>
      </c>
      <c r="K197" s="261">
        <f ca="1">IF(I197&gt;0,J197*100/I197,0)</f>
        <v>0</v>
      </c>
      <c r="L197" s="251"/>
      <c r="M197" s="251"/>
      <c r="N197" s="251"/>
      <c r="O197" s="251"/>
      <c r="P197" s="251"/>
    </row>
    <row r="198" spans="1:26" ht="19" hidden="1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 hidden="1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IFERROR(__xludf.DUMMYFUNCTION("IMPORTRANGE(""https://docs.google.com/spreadsheets/d/1QqKyyYR6Q21VydFLVH3TRQUabQu_ym0Zz7PgGX0-kHA/edit?usp=sharing"",""แผน!AE79"")"),0)</f>
        <v>0</v>
      </c>
      <c r="M199" s="38"/>
      <c r="N199" s="270"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 hidden="1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IFERROR(__xludf.DUMMYFUNCTION("IMPORTRANGE(""https://docs.google.com/spreadsheets/d/1QqKyyYR6Q21VydFLVH3TRQUabQu_ym0Zz7PgGX0-kHA/edit?usp=sharing"",""แผน!AF79"")"),0)</f>
        <v>0</v>
      </c>
      <c r="M200" s="38"/>
      <c r="N200" s="270">
        <v>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 hidden="1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IFERROR(__xludf.DUMMYFUNCTION("IMPORTRANGE(""https://docs.google.com/spreadsheets/d/1QqKyyYR6Q21VydFLVH3TRQUabQu_ym0Zz7PgGX0-kHA/edit?usp=sharing"",""แผน!AG79"")"),0)</f>
        <v>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 hidden="1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IFERROR(__xludf.DUMMYFUNCTION("IMPORTRANGE(""https://docs.google.com/spreadsheets/d/1QqKyyYR6Q21VydFLVH3TRQUabQu_ym0Zz7PgGX0-kHA/edit?usp=sharing"",""แผน!AH79"")"),0)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 hidden="1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 hidden="1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IFERROR(__xludf.DUMMYFUNCTION("IMPORTRANGE(""https://docs.google.com/spreadsheets/d/1QqKyyYR6Q21VydFLVH3TRQUabQu_ym0Zz7PgGX0-kHA/edit?usp=sharing"",""แผน!AI79"")"),0)</f>
        <v>0</v>
      </c>
      <c r="J204" s="181">
        <v>0</v>
      </c>
      <c r="K204" s="162">
        <f ca="1">IF(I204&gt;0,J204*100/I204,0)</f>
        <v>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 hidden="1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 hidden="1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/>
      <c r="J206" s="181">
        <v>0</v>
      </c>
      <c r="K206" s="162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 hidden="1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/>
      <c r="J207" s="181">
        <v>0</v>
      </c>
      <c r="K207" s="162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0">I215</f>
        <v>0</v>
      </c>
      <c r="J208" s="260">
        <f t="shared" si="100"/>
        <v>0</v>
      </c>
      <c r="K208" s="261">
        <f ca="1">IF(I208&gt;0,J208*100/I208,0)</f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IFERROR(__xludf.DUMMYFUNCTION("IMPORTRANGE(""https://docs.google.com/spreadsheets/d/1QqKyyYR6Q21VydFLVH3TRQUabQu_ym0Zz7PgGX0-kHA/edit?usp=sharing"",""แผน!AK79"")"),0)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IFERROR(__xludf.DUMMYFUNCTION("IMPORTRANGE(""https://docs.google.com/spreadsheets/d/1QqKyyYR6Q21VydFLVH3TRQUabQu_ym0Zz7PgGX0-kHA/edit?usp=sharing"",""แผน!AL79"")"),0)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IFERROR(__xludf.DUMMYFUNCTION("IMPORTRANGE(""https://docs.google.com/spreadsheets/d/1QqKyyYR6Q21VydFLVH3TRQUabQu_ym0Zz7PgGX0-kHA/edit?usp=sharing"",""แผน!AM79"")"),0)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IFERROR(__xludf.DUMMYFUNCTION("IMPORTRANGE(""https://docs.google.com/spreadsheets/d/1QqKyyYR6Q21VydFLVH3TRQUabQu_ym0Zz7PgGX0-kHA/edit?usp=sharing"",""แผน!AN79"")"),0)</f>
        <v>0</v>
      </c>
      <c r="J214" s="181">
        <v>0</v>
      </c>
      <c r="K214" s="38">
        <f t="shared" ref="K214:K216" ca="1" si="101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IFERROR(__xludf.DUMMYFUNCTION("IMPORTRANGE(""https://docs.google.com/spreadsheets/d/1QqKyyYR6Q21VydFLVH3TRQUabQu_ym0Zz7PgGX0-kHA/edit?usp=sharing"",""แผน!AN79"")"),0)</f>
        <v>0</v>
      </c>
      <c r="J215" s="181">
        <v>0</v>
      </c>
      <c r="K215" s="38">
        <f t="shared" ca="1" si="101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2">I224</f>
        <v>10000</v>
      </c>
      <c r="J216" s="260">
        <f t="shared" si="102"/>
        <v>10000</v>
      </c>
      <c r="K216" s="261">
        <f t="shared" ca="1" si="101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6500</v>
      </c>
      <c r="M217" s="154"/>
      <c r="N217" s="154">
        <f>N218+N219+N220</f>
        <v>6500</v>
      </c>
      <c r="O217" s="154">
        <f ca="1">IF(L217&gt;0,N217*100/L217,0)</f>
        <v>100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IFERROR(__xludf.DUMMYFUNCTION("IMPORTRANGE(""https://docs.google.com/spreadsheets/d/1QqKyyYR6Q21VydFLVH3TRQUabQu_ym0Zz7PgGX0-kHA/edit?usp=sharing"",""แผน!AP79"")"),3000)</f>
        <v>3000</v>
      </c>
      <c r="M218" s="38"/>
      <c r="N218" s="270">
        <v>3000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IFERROR(__xludf.DUMMYFUNCTION("IMPORTRANGE(""https://docs.google.com/spreadsheets/d/1QqKyyYR6Q21VydFLVH3TRQUabQu_ym0Zz7PgGX0-kHA/edit?usp=sharing"",""แผน!AQ79"")"),3500)</f>
        <v>3500</v>
      </c>
      <c r="M219" s="38"/>
      <c r="N219" s="270">
        <v>3500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IFERROR(__xludf.DUMMYFUNCTION("IMPORTRANGE(""https://docs.google.com/spreadsheets/d/1QqKyyYR6Q21VydFLVH3TRQUabQu_ym0Zz7PgGX0-kHA/edit?usp=sharing"",""แผน!AR79"")"),0)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IFERROR(__xludf.DUMMYFUNCTION("IMPORTRANGE(""https://docs.google.com/spreadsheets/d/1QqKyyYR6Q21VydFLVH3TRQUabQu_ym0Zz7PgGX0-kHA/edit?usp=sharing"",""แผน!AT79"")"),10000)</f>
        <v>10000</v>
      </c>
      <c r="J223" s="181">
        <v>10000</v>
      </c>
      <c r="K223" s="162">
        <f t="shared" ref="K223:K226" ca="1" si="103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IFERROR(__xludf.DUMMYFUNCTION("IMPORTRANGE(""https://docs.google.com/spreadsheets/d/1QqKyyYR6Q21VydFLVH3TRQUabQu_ym0Zz7PgGX0-kHA/edit?usp=sharing"",""แผน!AT79"")"),10000)</f>
        <v>10000</v>
      </c>
      <c r="J224" s="181">
        <v>10000</v>
      </c>
      <c r="K224" s="162">
        <f t="shared" ca="1" si="103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IFERROR(__xludf.DUMMYFUNCTION("IMPORTRANGE(""https://docs.google.com/spreadsheets/d/1QqKyyYR6Q21VydFLVH3TRQUabQu_ym0Zz7PgGX0-kHA/edit?usp=sharing"",""แผน!AS79"")"),0)</f>
        <v>0</v>
      </c>
      <c r="J225" s="181">
        <v>0</v>
      </c>
      <c r="K225" s="162">
        <f t="shared" ca="1" si="103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4">I237+I248</f>
        <v>0</v>
      </c>
      <c r="J226" s="330">
        <f t="shared" si="104"/>
        <v>0</v>
      </c>
      <c r="K226" s="331">
        <f t="shared" ca="1" si="103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5">L238+L249</f>
        <v>0</v>
      </c>
      <c r="M227" s="341"/>
      <c r="N227" s="341">
        <f t="shared" ref="N227:N231" si="106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5"/>
        <v>0</v>
      </c>
      <c r="M228" s="45"/>
      <c r="N228" s="45">
        <f t="shared" si="106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5"/>
        <v>0</v>
      </c>
      <c r="M229" s="45"/>
      <c r="N229" s="45">
        <f t="shared" si="106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5"/>
        <v>0</v>
      </c>
      <c r="M230" s="45"/>
      <c r="N230" s="45">
        <f t="shared" si="106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5"/>
        <v>0</v>
      </c>
      <c r="M231" s="45"/>
      <c r="N231" s="45">
        <f t="shared" si="106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7">I244+I255</f>
        <v>0</v>
      </c>
      <c r="J233" s="44">
        <f t="shared" si="107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8">I246+I257</f>
        <v>0</v>
      </c>
      <c r="J235" s="44">
        <f t="shared" si="108"/>
        <v>0</v>
      </c>
      <c r="K235" s="45">
        <f t="shared" ref="K235:K237" si="109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8"/>
        <v>0</v>
      </c>
      <c r="J236" s="44">
        <f t="shared" si="108"/>
        <v>0</v>
      </c>
      <c r="K236" s="45">
        <f t="shared" si="109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79"/>
      <c r="B237" s="280"/>
      <c r="C237" s="281" t="s">
        <v>331</v>
      </c>
      <c r="D237" s="282"/>
      <c r="E237" s="282"/>
      <c r="F237" s="282"/>
      <c r="G237" s="283"/>
      <c r="H237" s="284" t="s">
        <v>35</v>
      </c>
      <c r="I237" s="285">
        <f t="shared" ref="I237:J237" ca="1" si="110">I244</f>
        <v>0</v>
      </c>
      <c r="J237" s="285">
        <f t="shared" si="110"/>
        <v>0</v>
      </c>
      <c r="K237" s="286">
        <f t="shared" ca="1" si="109"/>
        <v>0</v>
      </c>
      <c r="L237" s="287"/>
      <c r="M237" s="287"/>
      <c r="N237" s="287"/>
      <c r="O237" s="287"/>
      <c r="P237" s="287"/>
      <c r="Q237" s="288"/>
      <c r="R237" s="288"/>
      <c r="S237" s="288"/>
      <c r="T237" s="288"/>
      <c r="U237" s="288"/>
      <c r="V237" s="288"/>
      <c r="W237" s="288"/>
      <c r="X237" s="288"/>
      <c r="Y237" s="288"/>
      <c r="Z237" s="288"/>
    </row>
    <row r="238" spans="1:26" ht="19" hidden="1">
      <c r="A238" s="289"/>
      <c r="B238" s="290"/>
      <c r="C238" s="291" t="s">
        <v>16</v>
      </c>
      <c r="D238" s="292" t="s">
        <v>17</v>
      </c>
      <c r="E238" s="290"/>
      <c r="F238" s="290"/>
      <c r="G238" s="293"/>
      <c r="H238" s="294" t="s">
        <v>12</v>
      </c>
      <c r="I238" s="295"/>
      <c r="J238" s="295"/>
      <c r="K238" s="296"/>
      <c r="L238" s="297">
        <f ca="1">L239+L240+L241+L242</f>
        <v>0</v>
      </c>
      <c r="M238" s="297"/>
      <c r="N238" s="297">
        <f>N239+N240+N241+N242</f>
        <v>0</v>
      </c>
      <c r="O238" s="297">
        <f ca="1">IF(L238&gt;0,N238*100/L238,0)</f>
        <v>0</v>
      </c>
      <c r="P238" s="297">
        <f>IF(M238&gt;0,N238*100/M238,0)</f>
        <v>0</v>
      </c>
      <c r="Q238" s="299"/>
      <c r="R238" s="299"/>
      <c r="S238" s="299"/>
      <c r="T238" s="299"/>
      <c r="U238" s="299"/>
      <c r="V238" s="299"/>
      <c r="W238" s="299"/>
      <c r="X238" s="299"/>
      <c r="Y238" s="299"/>
      <c r="Z238" s="299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IFERROR(__xludf.DUMMYFUNCTION("IMPORTRANGE(""https://docs.google.com/spreadsheets/d/1QqKyyYR6Q21VydFLVH3TRQUabQu_ym0Zz7PgGX0-kHA/edit?usp=sharing"",""แผน!AV79"")"),0)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IFERROR(__xludf.DUMMYFUNCTION("IMPORTRANGE(""https://docs.google.com/spreadsheets/d/1QqKyyYR6Q21VydFLVH3TRQUabQu_ym0Zz7PgGX0-kHA/edit?usp=sharing"",""แผน!AW79"")"),0)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IFERROR(__xludf.DUMMYFUNCTION("IMPORTRANGE(""https://docs.google.com/spreadsheets/d/1QqKyyYR6Q21VydFLVH3TRQUabQu_ym0Zz7PgGX0-kHA/edit?usp=sharing"",""แผน!AX79"")"),0)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IFERROR(__xludf.DUMMYFUNCTION("IMPORTRANGE(""https://docs.google.com/spreadsheets/d/1QqKyyYR6Q21VydFLVH3TRQUabQu_ym0Zz7PgGX0-kHA/edit?usp=sharing"",""แผน!AY79"")"),0)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313"/>
      <c r="B243" s="314"/>
      <c r="C243" s="310" t="s">
        <v>16</v>
      </c>
      <c r="D243" s="829" t="s">
        <v>38</v>
      </c>
      <c r="E243" s="316"/>
      <c r="F243" s="316"/>
      <c r="G243" s="317"/>
      <c r="H243" s="318"/>
      <c r="I243" s="306"/>
      <c r="J243" s="311"/>
      <c r="K243" s="308"/>
      <c r="L243" s="308"/>
      <c r="M243" s="308"/>
      <c r="N243" s="308"/>
      <c r="O243" s="307"/>
      <c r="P243" s="307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</row>
    <row r="244" spans="1:26" ht="19" hidden="1">
      <c r="A244" s="313"/>
      <c r="B244" s="314"/>
      <c r="C244" s="314"/>
      <c r="D244" s="319" t="s">
        <v>117</v>
      </c>
      <c r="E244" s="320"/>
      <c r="F244" s="320"/>
      <c r="G244" s="321"/>
      <c r="H244" s="322" t="s">
        <v>35</v>
      </c>
      <c r="I244" s="311">
        <f ca="1">IFERROR(__xludf.DUMMYFUNCTION("IMPORTRANGE(""https://docs.google.com/spreadsheets/d/1QqKyyYR6Q21VydFLVH3TRQUabQu_ym0Zz7PgGX0-kHA/edit?usp=sharing"",""แผน!BE79"")"),0)</f>
        <v>0</v>
      </c>
      <c r="J244" s="830">
        <v>0</v>
      </c>
      <c r="K244" s="308">
        <f ca="1">IF(I244&gt;0,J244*100/I244,0)</f>
        <v>0</v>
      </c>
      <c r="L244" s="308"/>
      <c r="M244" s="308"/>
      <c r="N244" s="308"/>
      <c r="O244" s="308"/>
      <c r="P244" s="308"/>
      <c r="Q244" s="299"/>
      <c r="R244" s="299"/>
      <c r="S244" s="299"/>
      <c r="T244" s="299"/>
      <c r="U244" s="299"/>
      <c r="V244" s="299"/>
      <c r="W244" s="299"/>
      <c r="X244" s="299"/>
      <c r="Y244" s="299"/>
      <c r="Z244" s="299"/>
    </row>
    <row r="245" spans="1:26" ht="19" hidden="1">
      <c r="A245" s="313"/>
      <c r="B245" s="314"/>
      <c r="C245" s="314"/>
      <c r="D245" s="323" t="s">
        <v>43</v>
      </c>
      <c r="E245" s="320"/>
      <c r="F245" s="320"/>
      <c r="G245" s="321"/>
      <c r="H245" s="322"/>
      <c r="I245" s="311"/>
      <c r="J245" s="311"/>
      <c r="K245" s="308"/>
      <c r="L245" s="308"/>
      <c r="M245" s="308"/>
      <c r="N245" s="308"/>
      <c r="O245" s="307"/>
      <c r="P245" s="307"/>
      <c r="Q245" s="299"/>
      <c r="R245" s="299"/>
      <c r="S245" s="299"/>
      <c r="T245" s="299"/>
      <c r="U245" s="299"/>
      <c r="V245" s="299"/>
      <c r="W245" s="299"/>
      <c r="X245" s="299"/>
      <c r="Y245" s="299"/>
      <c r="Z245" s="299"/>
    </row>
    <row r="246" spans="1:26" ht="19" hidden="1">
      <c r="A246" s="313"/>
      <c r="B246" s="314"/>
      <c r="C246" s="314"/>
      <c r="D246" s="314"/>
      <c r="E246" s="324" t="s">
        <v>118</v>
      </c>
      <c r="F246" s="320"/>
      <c r="G246" s="321"/>
      <c r="H246" s="322" t="s">
        <v>35</v>
      </c>
      <c r="I246" s="311"/>
      <c r="J246" s="830">
        <v>0</v>
      </c>
      <c r="K246" s="308">
        <f t="shared" ref="K246:K248" si="111">IF(I246&gt;0,J246*100/I246,0)</f>
        <v>0</v>
      </c>
      <c r="L246" s="308"/>
      <c r="M246" s="308"/>
      <c r="N246" s="308"/>
      <c r="O246" s="308"/>
      <c r="P246" s="308"/>
      <c r="Q246" s="299"/>
      <c r="R246" s="299"/>
      <c r="S246" s="299"/>
      <c r="T246" s="299"/>
      <c r="U246" s="299"/>
      <c r="V246" s="299"/>
      <c r="W246" s="299"/>
      <c r="X246" s="299"/>
      <c r="Y246" s="299"/>
      <c r="Z246" s="299"/>
    </row>
    <row r="247" spans="1:26" ht="19" hidden="1">
      <c r="A247" s="313"/>
      <c r="B247" s="314"/>
      <c r="C247" s="314"/>
      <c r="D247" s="314"/>
      <c r="E247" s="324" t="s">
        <v>119</v>
      </c>
      <c r="F247" s="320"/>
      <c r="G247" s="321"/>
      <c r="H247" s="322" t="s">
        <v>66</v>
      </c>
      <c r="I247" s="311"/>
      <c r="J247" s="830">
        <v>0</v>
      </c>
      <c r="K247" s="308">
        <f t="shared" si="111"/>
        <v>0</v>
      </c>
      <c r="L247" s="308"/>
      <c r="M247" s="308"/>
      <c r="N247" s="308"/>
      <c r="O247" s="308"/>
      <c r="P247" s="308"/>
      <c r="Q247" s="299"/>
      <c r="R247" s="299"/>
      <c r="S247" s="299"/>
      <c r="T247" s="299"/>
      <c r="U247" s="299"/>
      <c r="V247" s="299"/>
      <c r="W247" s="299"/>
      <c r="X247" s="299"/>
      <c r="Y247" s="299"/>
      <c r="Z247" s="299"/>
    </row>
    <row r="248" spans="1:26" ht="19" hidden="1">
      <c r="A248" s="279"/>
      <c r="B248" s="280"/>
      <c r="C248" s="281" t="s">
        <v>332</v>
      </c>
      <c r="D248" s="282"/>
      <c r="E248" s="282"/>
      <c r="F248" s="282"/>
      <c r="G248" s="283"/>
      <c r="H248" s="284" t="s">
        <v>35</v>
      </c>
      <c r="I248" s="285">
        <f t="shared" ref="I248:J248" ca="1" si="112">I255</f>
        <v>0</v>
      </c>
      <c r="J248" s="285">
        <f t="shared" si="112"/>
        <v>0</v>
      </c>
      <c r="K248" s="286">
        <f t="shared" ca="1" si="111"/>
        <v>0</v>
      </c>
      <c r="L248" s="287"/>
      <c r="M248" s="287"/>
      <c r="N248" s="287"/>
      <c r="O248" s="287"/>
      <c r="P248" s="287"/>
      <c r="Q248" s="288"/>
      <c r="R248" s="288"/>
      <c r="S248" s="288"/>
      <c r="T248" s="288"/>
      <c r="U248" s="288"/>
      <c r="V248" s="288"/>
      <c r="W248" s="288"/>
      <c r="X248" s="288"/>
      <c r="Y248" s="288"/>
      <c r="Z248" s="288"/>
    </row>
    <row r="249" spans="1:26" ht="19" hidden="1">
      <c r="A249" s="289"/>
      <c r="B249" s="290"/>
      <c r="C249" s="291" t="s">
        <v>16</v>
      </c>
      <c r="D249" s="831" t="s">
        <v>17</v>
      </c>
      <c r="E249" s="290"/>
      <c r="F249" s="290"/>
      <c r="G249" s="293"/>
      <c r="H249" s="294" t="s">
        <v>12</v>
      </c>
      <c r="I249" s="295"/>
      <c r="J249" s="295"/>
      <c r="K249" s="296"/>
      <c r="L249" s="297">
        <f ca="1">L250+L251+L252+L253</f>
        <v>0</v>
      </c>
      <c r="M249" s="297"/>
      <c r="N249" s="297">
        <f>N250+N251+N252+N253</f>
        <v>0</v>
      </c>
      <c r="O249" s="297">
        <f ca="1">IF(L249&gt;0,N249*100/L249,0)</f>
        <v>0</v>
      </c>
      <c r="P249" s="297">
        <f>IF(M249&gt;0,N249*100/M249,0)</f>
        <v>0</v>
      </c>
      <c r="Q249" s="299"/>
      <c r="R249" s="299"/>
      <c r="S249" s="299"/>
      <c r="T249" s="299"/>
      <c r="U249" s="299"/>
      <c r="V249" s="299"/>
      <c r="W249" s="299"/>
      <c r="X249" s="299"/>
      <c r="Y249" s="299"/>
      <c r="Z249" s="299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IFERROR(__xludf.DUMMYFUNCTION("IMPORTRANGE(""https://docs.google.com/spreadsheets/d/1QqKyyYR6Q21VydFLVH3TRQUabQu_ym0Zz7PgGX0-kHA/edit?usp=sharing"",""แผน!AZ79"")"),0)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IFERROR(__xludf.DUMMYFUNCTION("IMPORTRANGE(""https://docs.google.com/spreadsheets/d/1QqKyyYR6Q21VydFLVH3TRQUabQu_ym0Zz7PgGX0-kHA/edit?usp=sharing"",""แผน!BA79"")"),0)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IFERROR(__xludf.DUMMYFUNCTION("IMPORTRANGE(""https://docs.google.com/spreadsheets/d/1QqKyyYR6Q21VydFLVH3TRQUabQu_ym0Zz7PgGX0-kHA/edit?usp=sharing"",""แผน!BB79"")"),0)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IFERROR(__xludf.DUMMYFUNCTION("IMPORTRANGE(""https://docs.google.com/spreadsheets/d/1QqKyyYR6Q21VydFLVH3TRQUabQu_ym0Zz7PgGX0-kHA/edit?usp=sharing"",""แผน!BC79"")"),0)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313"/>
      <c r="B254" s="314"/>
      <c r="C254" s="310" t="s">
        <v>16</v>
      </c>
      <c r="D254" s="829" t="s">
        <v>38</v>
      </c>
      <c r="E254" s="316"/>
      <c r="F254" s="316"/>
      <c r="G254" s="317"/>
      <c r="H254" s="318"/>
      <c r="I254" s="306"/>
      <c r="J254" s="311"/>
      <c r="K254" s="308"/>
      <c r="L254" s="308"/>
      <c r="M254" s="308"/>
      <c r="N254" s="308"/>
      <c r="O254" s="307"/>
      <c r="P254" s="307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</row>
    <row r="255" spans="1:26" ht="19" hidden="1">
      <c r="A255" s="313"/>
      <c r="B255" s="314"/>
      <c r="C255" s="314"/>
      <c r="D255" s="319" t="s">
        <v>117</v>
      </c>
      <c r="E255" s="320"/>
      <c r="F255" s="320"/>
      <c r="G255" s="321"/>
      <c r="H255" s="322" t="s">
        <v>35</v>
      </c>
      <c r="I255" s="311">
        <f ca="1">IFERROR(__xludf.DUMMYFUNCTION("IMPORTRANGE(""https://docs.google.com/spreadsheets/d/1QqKyyYR6Q21VydFLVH3TRQUabQu_ym0Zz7PgGX0-kHA/edit?usp=sharing"",""แผน!BF79"")"),0)</f>
        <v>0</v>
      </c>
      <c r="J255" s="830">
        <v>0</v>
      </c>
      <c r="K255" s="308">
        <f ca="1">IF(I255&gt;0,J255*100/I255,0)</f>
        <v>0</v>
      </c>
      <c r="L255" s="308"/>
      <c r="M255" s="308"/>
      <c r="N255" s="308"/>
      <c r="O255" s="308"/>
      <c r="P255" s="308"/>
      <c r="Q255" s="299"/>
      <c r="R255" s="299"/>
      <c r="S255" s="299"/>
      <c r="T255" s="299"/>
      <c r="U255" s="299"/>
      <c r="V255" s="299"/>
      <c r="W255" s="299"/>
      <c r="X255" s="299"/>
      <c r="Y255" s="299"/>
      <c r="Z255" s="299"/>
    </row>
    <row r="256" spans="1:26" ht="19" hidden="1">
      <c r="A256" s="313"/>
      <c r="B256" s="314"/>
      <c r="C256" s="314"/>
      <c r="D256" s="323" t="s">
        <v>43</v>
      </c>
      <c r="E256" s="320"/>
      <c r="F256" s="320"/>
      <c r="G256" s="321"/>
      <c r="H256" s="322"/>
      <c r="I256" s="311"/>
      <c r="J256" s="311"/>
      <c r="K256" s="308"/>
      <c r="L256" s="308"/>
      <c r="M256" s="308"/>
      <c r="N256" s="308"/>
      <c r="O256" s="307"/>
      <c r="P256" s="307"/>
      <c r="Q256" s="299"/>
      <c r="R256" s="299"/>
      <c r="S256" s="299"/>
      <c r="T256" s="299"/>
      <c r="U256" s="299"/>
      <c r="V256" s="299"/>
      <c r="W256" s="299"/>
      <c r="X256" s="299"/>
      <c r="Y256" s="299"/>
      <c r="Z256" s="299"/>
    </row>
    <row r="257" spans="1:26" ht="19" hidden="1">
      <c r="A257" s="313"/>
      <c r="B257" s="314"/>
      <c r="C257" s="314"/>
      <c r="D257" s="314"/>
      <c r="E257" s="324" t="s">
        <v>118</v>
      </c>
      <c r="F257" s="320"/>
      <c r="G257" s="321"/>
      <c r="H257" s="322" t="s">
        <v>35</v>
      </c>
      <c r="I257" s="311"/>
      <c r="J257" s="830">
        <v>0</v>
      </c>
      <c r="K257" s="308">
        <f t="shared" ref="K257:K258" si="113">IF(I257&gt;0,J257*100/I257,0)</f>
        <v>0</v>
      </c>
      <c r="L257" s="308"/>
      <c r="M257" s="308"/>
      <c r="N257" s="308"/>
      <c r="O257" s="308"/>
      <c r="P257" s="308"/>
      <c r="Q257" s="299"/>
      <c r="R257" s="299"/>
      <c r="S257" s="299"/>
      <c r="T257" s="299"/>
      <c r="U257" s="299"/>
      <c r="V257" s="299"/>
      <c r="W257" s="299"/>
      <c r="X257" s="299"/>
      <c r="Y257" s="299"/>
      <c r="Z257" s="299"/>
    </row>
    <row r="258" spans="1:26" ht="19" hidden="1">
      <c r="A258" s="313"/>
      <c r="B258" s="314"/>
      <c r="C258" s="314"/>
      <c r="D258" s="314"/>
      <c r="E258" s="324" t="s">
        <v>119</v>
      </c>
      <c r="F258" s="320"/>
      <c r="G258" s="321"/>
      <c r="H258" s="322" t="s">
        <v>66</v>
      </c>
      <c r="I258" s="311"/>
      <c r="J258" s="830">
        <v>0</v>
      </c>
      <c r="K258" s="308">
        <f t="shared" si="113"/>
        <v>0</v>
      </c>
      <c r="L258" s="308"/>
      <c r="M258" s="308"/>
      <c r="N258" s="308"/>
      <c r="O258" s="308"/>
      <c r="P258" s="308"/>
      <c r="Q258" s="299"/>
      <c r="R258" s="299"/>
      <c r="S258" s="299"/>
      <c r="T258" s="299"/>
      <c r="U258" s="299"/>
      <c r="V258" s="299"/>
      <c r="W258" s="299"/>
      <c r="X258" s="299"/>
      <c r="Y258" s="299"/>
      <c r="Z258" s="299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4">I271</f>
        <v>16</v>
      </c>
      <c r="J260" s="242">
        <f t="shared" si="114"/>
        <v>16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5">L262+L263</f>
        <v>21200</v>
      </c>
      <c r="M261" s="154">
        <f t="shared" ca="1" si="115"/>
        <v>21200</v>
      </c>
      <c r="N261" s="154">
        <f t="shared" ca="1" si="115"/>
        <v>20200</v>
      </c>
      <c r="O261" s="154">
        <f t="shared" ref="O261:O269" ca="1" si="116">IF(L261&gt;0,N261*100/L261,0)</f>
        <v>95.283018867924525</v>
      </c>
      <c r="P261" s="154">
        <f t="shared" ref="P261:P269" ca="1" si="117">IF(M261&gt;0,N261*100/M261,0)</f>
        <v>95.283018867924525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8">L265+L268</f>
        <v>0</v>
      </c>
      <c r="M262" s="45">
        <f t="shared" si="118"/>
        <v>0</v>
      </c>
      <c r="N262" s="45">
        <f t="shared" si="118"/>
        <v>0</v>
      </c>
      <c r="O262" s="45">
        <f t="shared" si="116"/>
        <v>0</v>
      </c>
      <c r="P262" s="45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8"/>
        <v>21200</v>
      </c>
      <c r="M263" s="45">
        <f t="shared" ca="1" si="118"/>
        <v>21200</v>
      </c>
      <c r="N263" s="45">
        <f t="shared" ca="1" si="118"/>
        <v>20200</v>
      </c>
      <c r="O263" s="45">
        <f t="shared" ca="1" si="116"/>
        <v>95.283018867924525</v>
      </c>
      <c r="P263" s="45">
        <f t="shared" ca="1" si="117"/>
        <v>95.283018867924525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19">L265+L266</f>
        <v>21200</v>
      </c>
      <c r="M264" s="38">
        <f t="shared" ca="1" si="119"/>
        <v>21200</v>
      </c>
      <c r="N264" s="38">
        <f t="shared" ca="1" si="119"/>
        <v>20200</v>
      </c>
      <c r="O264" s="38">
        <f t="shared" ca="1" si="116"/>
        <v>95.283018867924525</v>
      </c>
      <c r="P264" s="38">
        <f t="shared" ca="1" si="117"/>
        <v>95.283018867924525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6"/>
        <v>0</v>
      </c>
      <c r="P265" s="45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IFERROR(__xludf.DUMMYFUNCTION("IMPORTRANGE(""https://docs.google.com/spreadsheets/d/1MeEWN-I1oV_STSDYn1IFDPWt_1FKiwhDph83XaGc0o0/edit?usp=sharing"",""งบพรบ!CY79"")"),21200)</f>
        <v>21200</v>
      </c>
      <c r="M266" s="45">
        <f ca="1">IFERROR(__xludf.DUMMYFUNCTION("IMPORTRANGE(""https://docs.google.com/spreadsheets/d/1MeEWN-I1oV_STSDYn1IFDPWt_1FKiwhDph83XaGc0o0/edit?usp=sharing"",""งบพรบ!DD79"")"),21200)</f>
        <v>21200</v>
      </c>
      <c r="N266" s="45">
        <f ca="1">IFERROR(__xludf.DUMMYFUNCTION("IMPORTRANGE(""https://docs.google.com/spreadsheets/d/1MeEWN-I1oV_STSDYn1IFDPWt_1FKiwhDph83XaGc0o0/edit?usp=sharing"",""งบพรบ!DF79"")"),20200)</f>
        <v>20200</v>
      </c>
      <c r="O266" s="45">
        <f t="shared" ca="1" si="116"/>
        <v>95.283018867924525</v>
      </c>
      <c r="P266" s="45">
        <f t="shared" ca="1" si="117"/>
        <v>95.283018867924525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0">L268+L269</f>
        <v>0</v>
      </c>
      <c r="M267" s="38">
        <f t="shared" ca="1" si="120"/>
        <v>0</v>
      </c>
      <c r="N267" s="38">
        <f t="shared" ca="1" si="120"/>
        <v>0</v>
      </c>
      <c r="O267" s="38">
        <f t="shared" ca="1" si="116"/>
        <v>0</v>
      </c>
      <c r="P267" s="3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6"/>
        <v>0</v>
      </c>
      <c r="P268" s="45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IFERROR(__xludf.DUMMYFUNCTION("IMPORTRANGE(""https://docs.google.com/spreadsheets/d/1MeEWN-I1oV_STSDYn1IFDPWt_1FKiwhDph83XaGc0o0/edit?usp=sharing"",""งบพรบ!DB79"")"),0)</f>
        <v>0</v>
      </c>
      <c r="M269" s="45">
        <f ca="1">IFERROR(__xludf.DUMMYFUNCTION("IMPORTRANGE(""https://docs.google.com/spreadsheets/d/1MeEWN-I1oV_STSDYn1IFDPWt_1FKiwhDph83XaGc0o0/edit?usp=sharing"",""งบพรบ!DE79"")"),0)</f>
        <v>0</v>
      </c>
      <c r="N269" s="45">
        <f ca="1">IFERROR(__xludf.DUMMYFUNCTION("IMPORTRANGE(""https://docs.google.com/spreadsheets/d/1MeEWN-I1oV_STSDYn1IFDPWt_1FKiwhDph83XaGc0o0/edit?usp=sharing"",""งบพรบ!DG79"")"),0)</f>
        <v>0</v>
      </c>
      <c r="O269" s="45">
        <f t="shared" ca="1" si="116"/>
        <v>0</v>
      </c>
      <c r="P269" s="45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IFERROR(__xludf.DUMMYFUNCTION("IMPORTRANGE(""https://docs.google.com/spreadsheets/d/1QqKyyYR6Q21VydFLVH3TRQUabQu_ym0Zz7PgGX0-kHA/edit?usp=sharing"",""แผน!EA79"")"),16)</f>
        <v>16</v>
      </c>
      <c r="J271" s="181">
        <v>16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1">I288</f>
        <v>0</v>
      </c>
      <c r="J275" s="387">
        <f t="shared" ca="1" si="121"/>
        <v>0</v>
      </c>
      <c r="K275" s="388">
        <f t="shared" ref="K275:K276" ca="1" si="122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3">I287</f>
        <v>0</v>
      </c>
      <c r="J276" s="390">
        <f t="shared" si="123"/>
        <v>0</v>
      </c>
      <c r="K276" s="389">
        <f t="shared" ca="1" si="122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4">L278+L279</f>
        <v>0</v>
      </c>
      <c r="M277" s="154">
        <f t="shared" ca="1" si="124"/>
        <v>0</v>
      </c>
      <c r="N277" s="154">
        <f t="shared" ca="1" si="124"/>
        <v>0</v>
      </c>
      <c r="O277" s="154">
        <f t="shared" ref="O277:O285" ca="1" si="125">IF(L277&gt;0,N277*100/L277,0)</f>
        <v>0</v>
      </c>
      <c r="P277" s="154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7">L281+L284</f>
        <v>0</v>
      </c>
      <c r="M278" s="45">
        <f t="shared" si="127"/>
        <v>0</v>
      </c>
      <c r="N278" s="45">
        <f t="shared" si="127"/>
        <v>0</v>
      </c>
      <c r="O278" s="45">
        <f t="shared" si="125"/>
        <v>0</v>
      </c>
      <c r="P278" s="45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7"/>
        <v>0</v>
      </c>
      <c r="M279" s="45">
        <f t="shared" ca="1" si="127"/>
        <v>0</v>
      </c>
      <c r="N279" s="45">
        <f t="shared" ca="1" si="127"/>
        <v>0</v>
      </c>
      <c r="O279" s="45">
        <f t="shared" ca="1" si="125"/>
        <v>0</v>
      </c>
      <c r="P279" s="45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8">L281+L282</f>
        <v>0</v>
      </c>
      <c r="M280" s="38">
        <f t="shared" ca="1" si="128"/>
        <v>0</v>
      </c>
      <c r="N280" s="38">
        <f t="shared" ca="1" si="128"/>
        <v>0</v>
      </c>
      <c r="O280" s="38">
        <f t="shared" ca="1" si="125"/>
        <v>0</v>
      </c>
      <c r="P280" s="3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5"/>
        <v>0</v>
      </c>
      <c r="P281" s="45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IFERROR(__xludf.DUMMYFUNCTION("IMPORTRANGE(""https://docs.google.com/spreadsheets/d/1MeEWN-I1oV_STSDYn1IFDPWt_1FKiwhDph83XaGc0o0/edit?usp=sharing"",""งบพรบ!DI79"")"),0)</f>
        <v>0</v>
      </c>
      <c r="M282" s="45">
        <f ca="1">IFERROR(__xludf.DUMMYFUNCTION("IMPORTRANGE(""https://docs.google.com/spreadsheets/d/1MeEWN-I1oV_STSDYn1IFDPWt_1FKiwhDph83XaGc0o0/edit?usp=sharing"",""งบพรบ!DN79"")"),0)</f>
        <v>0</v>
      </c>
      <c r="N282" s="45">
        <f ca="1">IFERROR(__xludf.DUMMYFUNCTION("IMPORTRANGE(""https://docs.google.com/spreadsheets/d/1MeEWN-I1oV_STSDYn1IFDPWt_1FKiwhDph83XaGc0o0/edit?usp=sharing"",""งบพรบ!DP79"")"),0)</f>
        <v>0</v>
      </c>
      <c r="O282" s="45">
        <f t="shared" ca="1" si="125"/>
        <v>0</v>
      </c>
      <c r="P282" s="45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29">L284+L285</f>
        <v>0</v>
      </c>
      <c r="M283" s="38">
        <f t="shared" ca="1" si="129"/>
        <v>0</v>
      </c>
      <c r="N283" s="38">
        <f t="shared" ca="1" si="129"/>
        <v>0</v>
      </c>
      <c r="O283" s="38">
        <f t="shared" ca="1" si="125"/>
        <v>0</v>
      </c>
      <c r="P283" s="3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5"/>
        <v>0</v>
      </c>
      <c r="P284" s="45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IFERROR(__xludf.DUMMYFUNCTION("IMPORTRANGE(""https://docs.google.com/spreadsheets/d/1MeEWN-I1oV_STSDYn1IFDPWt_1FKiwhDph83XaGc0o0/edit?usp=sharing"",""งบพรบ!DL79"")"),0)</f>
        <v>0</v>
      </c>
      <c r="M285" s="45">
        <f ca="1">IFERROR(__xludf.DUMMYFUNCTION("IMPORTRANGE(""https://docs.google.com/spreadsheets/d/1MeEWN-I1oV_STSDYn1IFDPWt_1FKiwhDph83XaGc0o0/edit?usp=sharing"",""งบพรบ!DO79"")"),0)</f>
        <v>0</v>
      </c>
      <c r="N285" s="45">
        <f ca="1">IFERROR(__xludf.DUMMYFUNCTION("IMPORTRANGE(""https://docs.google.com/spreadsheets/d/1MeEWN-I1oV_STSDYn1IFDPWt_1FKiwhDph83XaGc0o0/edit?usp=sharing"",""งบพรบ!DQ79"")"),0)</f>
        <v>0</v>
      </c>
      <c r="O285" s="45">
        <f t="shared" ca="1" si="125"/>
        <v>0</v>
      </c>
      <c r="P285" s="45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IFERROR(__xludf.DUMMYFUNCTION("IMPORTRANGE(""https://docs.google.com/spreadsheets/d/1QqKyyYR6Q21VydFLVH3TRQUabQu_ym0Zz7PgGX0-kHA/edit?usp=sharing"",""แผน!EC79"")"),0)</f>
        <v>0</v>
      </c>
      <c r="J287" s="37">
        <v>0</v>
      </c>
      <c r="K287" s="162">
        <f t="shared" ref="K287:K288" ca="1" si="130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IFERROR(__xludf.DUMMYFUNCTION("IMPORTRANGE(""https://docs.google.com/spreadsheets/d/1QqKyyYR6Q21VydFLVH3TRQUabQu_ym0Zz7PgGX0-kHA/edit?usp=sharing"",""แผน!EB79"")"),0)</f>
        <v>0</v>
      </c>
      <c r="J288" s="190">
        <f ca="1">IF(AND(J291&gt;=I288,J294&gt;=I288),J294,0)</f>
        <v>0</v>
      </c>
      <c r="K288" s="391">
        <f t="shared" ca="1" si="130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IFERROR(__xludf.DUMMYFUNCTION("IMPORTRANGE(""https://docs.google.com/spreadsheets/d/1QqKyyYR6Q21VydFLVH3TRQUabQu_ym0Zz7PgGX0-kHA/edit?usp=sharing"",""แผน!EB79"")"),0)</f>
        <v>0</v>
      </c>
      <c r="J290" s="181">
        <v>0</v>
      </c>
      <c r="K290" s="162">
        <f t="shared" ref="K290:K291" ca="1" si="131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337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IFERROR(__xludf.DUMMYFUNCTION("IMPORTRANGE(""https://docs.google.com/spreadsheets/d/1QqKyyYR6Q21VydFLVH3TRQUabQu_ym0Zz7PgGX0-kHA/edit?usp=sharing"",""แผน!EB79"")"),0)</f>
        <v>0</v>
      </c>
      <c r="J291" s="181">
        <v>0</v>
      </c>
      <c r="K291" s="162">
        <f t="shared" ca="1" si="131"/>
        <v>0</v>
      </c>
      <c r="L291" s="162"/>
      <c r="M291" s="162"/>
      <c r="N291" s="162"/>
      <c r="O291" s="162"/>
      <c r="P291" s="162"/>
    </row>
    <row r="292" spans="1:26" ht="19" hidden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IFERROR(__xludf.DUMMYFUNCTION("IMPORTRANGE(""https://docs.google.com/spreadsheets/d/1QqKyyYR6Q21VydFLVH3TRQUabQu_ym0Zz7PgGX0-kHA/edit?usp=sharing"",""แผน!EB79"")"),0)</f>
        <v>0</v>
      </c>
      <c r="J293" s="181">
        <v>0</v>
      </c>
      <c r="K293" s="162">
        <f t="shared" ref="K293:K294" ca="1" si="132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9" t="s">
        <v>337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IFERROR(__xludf.DUMMYFUNCTION("IMPORTRANGE(""https://docs.google.com/spreadsheets/d/1QqKyyYR6Q21VydFLVH3TRQUabQu_ym0Zz7PgGX0-kHA/edit?usp=sharing"",""แผน!EB79"")"),0)</f>
        <v>0</v>
      </c>
      <c r="J294" s="57">
        <v>0</v>
      </c>
      <c r="K294" s="366">
        <f t="shared" ca="1" si="132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3">I309</f>
        <v>0</v>
      </c>
      <c r="J297" s="421">
        <f t="shared" si="133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4">L299+L300</f>
        <v>0</v>
      </c>
      <c r="M298" s="154">
        <f t="shared" ca="1" si="134"/>
        <v>0</v>
      </c>
      <c r="N298" s="154">
        <f t="shared" ca="1" si="134"/>
        <v>0</v>
      </c>
      <c r="O298" s="154">
        <f t="shared" ref="O298:O306" ca="1" si="135">IF(L298&gt;0,N298*100/L298,0)</f>
        <v>0</v>
      </c>
      <c r="P298" s="154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7">L302+L305</f>
        <v>0</v>
      </c>
      <c r="M299" s="45">
        <f t="shared" si="137"/>
        <v>0</v>
      </c>
      <c r="N299" s="45">
        <f t="shared" si="137"/>
        <v>0</v>
      </c>
      <c r="O299" s="45">
        <f t="shared" si="135"/>
        <v>0</v>
      </c>
      <c r="P299" s="45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7"/>
        <v>0</v>
      </c>
      <c r="M300" s="45">
        <f t="shared" ca="1" si="137"/>
        <v>0</v>
      </c>
      <c r="N300" s="45">
        <f t="shared" ca="1" si="137"/>
        <v>0</v>
      </c>
      <c r="O300" s="45">
        <f t="shared" ca="1" si="135"/>
        <v>0</v>
      </c>
      <c r="P300" s="45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8">L302+L303</f>
        <v>0</v>
      </c>
      <c r="M301" s="38">
        <f t="shared" ca="1" si="138"/>
        <v>0</v>
      </c>
      <c r="N301" s="38">
        <f t="shared" ca="1" si="138"/>
        <v>0</v>
      </c>
      <c r="O301" s="38">
        <f t="shared" ca="1" si="135"/>
        <v>0</v>
      </c>
      <c r="P301" s="3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5"/>
        <v>0</v>
      </c>
      <c r="P302" s="45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IFERROR(__xludf.DUMMYFUNCTION("IMPORTRANGE(""https://docs.google.com/spreadsheets/d/1MeEWN-I1oV_STSDYn1IFDPWt_1FKiwhDph83XaGc0o0/edit?usp=sharing"",""งบพรบ!DS79"")"),0)</f>
        <v>0</v>
      </c>
      <c r="M303" s="45">
        <f ca="1">IFERROR(__xludf.DUMMYFUNCTION("IMPORTRANGE(""https://docs.google.com/spreadsheets/d/1MeEWN-I1oV_STSDYn1IFDPWt_1FKiwhDph83XaGc0o0/edit?usp=sharing"",""งบพรบ!DX79"")"),0)</f>
        <v>0</v>
      </c>
      <c r="N303" s="45">
        <f ca="1">IFERROR(__xludf.DUMMYFUNCTION("IMPORTRANGE(""https://docs.google.com/spreadsheets/d/1MeEWN-I1oV_STSDYn1IFDPWt_1FKiwhDph83XaGc0o0/edit?usp=sharing"",""งบพรบ!DZ79"")"),0)</f>
        <v>0</v>
      </c>
      <c r="O303" s="45">
        <f t="shared" ca="1" si="135"/>
        <v>0</v>
      </c>
      <c r="P303" s="45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39">L305+L306</f>
        <v>0</v>
      </c>
      <c r="M304" s="38">
        <f t="shared" ca="1" si="139"/>
        <v>0</v>
      </c>
      <c r="N304" s="38">
        <f t="shared" ca="1" si="139"/>
        <v>0</v>
      </c>
      <c r="O304" s="38">
        <f t="shared" ca="1" si="135"/>
        <v>0</v>
      </c>
      <c r="P304" s="3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5"/>
        <v>0</v>
      </c>
      <c r="P305" s="45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IFERROR(__xludf.DUMMYFUNCTION("IMPORTRANGE(""https://docs.google.com/spreadsheets/d/1MeEWN-I1oV_STSDYn1IFDPWt_1FKiwhDph83XaGc0o0/edit?usp=sharing"",""งบพรบ!DV79"")"),0)</f>
        <v>0</v>
      </c>
      <c r="M306" s="45">
        <f ca="1">IFERROR(__xludf.DUMMYFUNCTION("IMPORTRANGE(""https://docs.google.com/spreadsheets/d/1MeEWN-I1oV_STSDYn1IFDPWt_1FKiwhDph83XaGc0o0/edit?usp=sharing"",""งบพรบ!DY79"")"),0)</f>
        <v>0</v>
      </c>
      <c r="N306" s="45">
        <f ca="1">IFERROR(__xludf.DUMMYFUNCTION("IMPORTRANGE(""https://docs.google.com/spreadsheets/d/1MeEWN-I1oV_STSDYn1IFDPWt_1FKiwhDph83XaGc0o0/edit?usp=sharing"",""งบพรบ!EA79"")"),0)</f>
        <v>0</v>
      </c>
      <c r="O306" s="45">
        <f t="shared" ca="1" si="135"/>
        <v>0</v>
      </c>
      <c r="P306" s="45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IFERROR(__xludf.DUMMYFUNCTION("IMPORTRANGE(""https://docs.google.com/spreadsheets/d/1QqKyyYR6Q21VydFLVH3TRQUabQu_ym0Zz7PgGX0-kHA/edit?usp=sharing"",""แผน!ED79"")"),0)</f>
        <v>0</v>
      </c>
      <c r="J309" s="181">
        <v>0</v>
      </c>
      <c r="K309" s="38">
        <f t="shared" ref="K309:K312" ca="1" si="140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IFERROR(__xludf.DUMMYFUNCTION("IMPORTRANGE(""https://docs.google.com/spreadsheets/d/1QqKyyYR6Q21VydFLVH3TRQUabQu_ym0Zz7PgGX0-kHA/edit?usp=sharing"",""แผน!ED79"")"),0)</f>
        <v>0</v>
      </c>
      <c r="J310" s="181">
        <v>0</v>
      </c>
      <c r="K310" s="38">
        <f t="shared" ca="1" si="140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IFERROR(__xludf.DUMMYFUNCTION("IMPORTRANGE(""https://docs.google.com/spreadsheets/d/1QqKyyYR6Q21VydFLVH3TRQUabQu_ym0Zz7PgGX0-kHA/edit?usp=sharing"",""แผน!ED79"")"),0)</f>
        <v>0</v>
      </c>
      <c r="J311" s="181">
        <v>0</v>
      </c>
      <c r="K311" s="38">
        <f t="shared" ca="1" si="140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IFERROR(__xludf.DUMMYFUNCTION("IMPORTRANGE(""https://docs.google.com/spreadsheets/d/1QqKyyYR6Q21VydFLVH3TRQUabQu_ym0Zz7PgGX0-kHA/edit?usp=sharing"",""แผน!EE79"")"),0)</f>
        <v>0</v>
      </c>
      <c r="J312" s="181">
        <v>0</v>
      </c>
      <c r="K312" s="38">
        <f t="shared" ca="1" si="140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1">I325</f>
        <v>0</v>
      </c>
      <c r="J314" s="421">
        <f t="shared" si="141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2">L316+L317</f>
        <v>0</v>
      </c>
      <c r="M315" s="154">
        <f t="shared" ca="1" si="142"/>
        <v>0</v>
      </c>
      <c r="N315" s="154">
        <f t="shared" ca="1" si="142"/>
        <v>0</v>
      </c>
      <c r="O315" s="154">
        <f t="shared" ref="O315:O323" ca="1" si="143">IF(L315&gt;0,N315*100/L315,0)</f>
        <v>0</v>
      </c>
      <c r="P315" s="154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5">L319+L322</f>
        <v>0</v>
      </c>
      <c r="M316" s="45">
        <f t="shared" si="145"/>
        <v>0</v>
      </c>
      <c r="N316" s="45">
        <f t="shared" si="145"/>
        <v>0</v>
      </c>
      <c r="O316" s="45">
        <f t="shared" si="143"/>
        <v>0</v>
      </c>
      <c r="P316" s="45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5"/>
        <v>0</v>
      </c>
      <c r="M317" s="45">
        <f t="shared" ca="1" si="145"/>
        <v>0</v>
      </c>
      <c r="N317" s="45">
        <f t="shared" ca="1" si="145"/>
        <v>0</v>
      </c>
      <c r="O317" s="45">
        <f t="shared" ca="1" si="143"/>
        <v>0</v>
      </c>
      <c r="P317" s="45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6">L319+L320</f>
        <v>0</v>
      </c>
      <c r="M318" s="38">
        <f t="shared" ca="1" si="146"/>
        <v>0</v>
      </c>
      <c r="N318" s="38">
        <f t="shared" ca="1" si="146"/>
        <v>0</v>
      </c>
      <c r="O318" s="38">
        <f t="shared" ca="1" si="143"/>
        <v>0</v>
      </c>
      <c r="P318" s="3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3"/>
        <v>0</v>
      </c>
      <c r="P319" s="45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IFERROR(__xludf.DUMMYFUNCTION("IMPORTRANGE(""https://docs.google.com/spreadsheets/d/1MeEWN-I1oV_STSDYn1IFDPWt_1FKiwhDph83XaGc0o0/edit?usp=sharing"",""งบพรบ!EC79"")"),0)</f>
        <v>0</v>
      </c>
      <c r="M320" s="45">
        <f ca="1">IFERROR(__xludf.DUMMYFUNCTION("IMPORTRANGE(""https://docs.google.com/spreadsheets/d/1MeEWN-I1oV_STSDYn1IFDPWt_1FKiwhDph83XaGc0o0/edit?usp=sharing"",""งบพรบ!EH79"")"),0)</f>
        <v>0</v>
      </c>
      <c r="N320" s="45">
        <f ca="1">IFERROR(__xludf.DUMMYFUNCTION("IMPORTRANGE(""https://docs.google.com/spreadsheets/d/1MeEWN-I1oV_STSDYn1IFDPWt_1FKiwhDph83XaGc0o0/edit?usp=sharing"",""งบพรบ!EJ79"")"),0)</f>
        <v>0</v>
      </c>
      <c r="O320" s="45">
        <f t="shared" ca="1" si="143"/>
        <v>0</v>
      </c>
      <c r="P320" s="45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7">L322+L323</f>
        <v>0</v>
      </c>
      <c r="M321" s="38">
        <f t="shared" ca="1" si="147"/>
        <v>0</v>
      </c>
      <c r="N321" s="38">
        <f t="shared" ca="1" si="147"/>
        <v>0</v>
      </c>
      <c r="O321" s="38">
        <f t="shared" ca="1" si="143"/>
        <v>0</v>
      </c>
      <c r="P321" s="3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3"/>
        <v>0</v>
      </c>
      <c r="P322" s="45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IFERROR(__xludf.DUMMYFUNCTION("IMPORTRANGE(""https://docs.google.com/spreadsheets/d/1MeEWN-I1oV_STSDYn1IFDPWt_1FKiwhDph83XaGc0o0/edit?usp=sharing"",""งบพรบ!EF79"")"),0)</f>
        <v>0</v>
      </c>
      <c r="M323" s="45">
        <f ca="1">IFERROR(__xludf.DUMMYFUNCTION("IMPORTRANGE(""https://docs.google.com/spreadsheets/d/1MeEWN-I1oV_STSDYn1IFDPWt_1FKiwhDph83XaGc0o0/edit?usp=sharing"",""งบพรบ!EI79"")"),0)</f>
        <v>0</v>
      </c>
      <c r="N323" s="45">
        <f ca="1">IFERROR(__xludf.DUMMYFUNCTION("IMPORTRANGE(""https://docs.google.com/spreadsheets/d/1MeEWN-I1oV_STSDYn1IFDPWt_1FKiwhDph83XaGc0o0/edit?usp=sharing"",""งบพรบ!EK79"")"),0)</f>
        <v>0</v>
      </c>
      <c r="O323" s="45">
        <f t="shared" ca="1" si="143"/>
        <v>0</v>
      </c>
      <c r="P323" s="45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IFERROR(__xludf.DUMMYFUNCTION("IMPORTRANGE(""https://docs.google.com/spreadsheets/d/1QqKyyYR6Q21VydFLVH3TRQUabQu_ym0Zz7PgGX0-kHA/edit?usp=sharing"",""แผน!EF79"")"),0)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IFERROR(__xludf.DUMMYFUNCTION("IMPORTRANGE(""https://docs.google.com/spreadsheets/d/1QqKyyYR6Q21VydFLVH3TRQUabQu_ym0Zz7PgGX0-kHA/edit?usp=sharing"",""แผน!EG79"")"),300)</f>
        <v>300</v>
      </c>
      <c r="J327" s="421">
        <f ca="1">J338+J341+J342+J343</f>
        <v>604</v>
      </c>
      <c r="K327" s="422">
        <f ca="1">IF(I327&gt;0,J327*100/I327,0)</f>
        <v>201.33333333333334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8">L329+L330</f>
        <v>157000</v>
      </c>
      <c r="M328" s="154">
        <f t="shared" ca="1" si="148"/>
        <v>159500</v>
      </c>
      <c r="N328" s="154">
        <f t="shared" ca="1" si="148"/>
        <v>124628</v>
      </c>
      <c r="O328" s="154">
        <f t="shared" ref="O328:O336" ca="1" si="149">IF(L328&gt;0,N328*100/L328,0)</f>
        <v>79.380891719745222</v>
      </c>
      <c r="P328" s="154">
        <f t="shared" ref="P328:P336" ca="1" si="150">IF(M328&gt;0,N328*100/M328,0)</f>
        <v>78.136677115987467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1">L332+L335</f>
        <v>0</v>
      </c>
      <c r="M329" s="45">
        <f t="shared" si="151"/>
        <v>0</v>
      </c>
      <c r="N329" s="45">
        <f t="shared" si="151"/>
        <v>0</v>
      </c>
      <c r="O329" s="45">
        <f t="shared" si="149"/>
        <v>0</v>
      </c>
      <c r="P329" s="45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1"/>
        <v>157000</v>
      </c>
      <c r="M330" s="45">
        <f t="shared" ca="1" si="151"/>
        <v>159500</v>
      </c>
      <c r="N330" s="45">
        <f t="shared" ca="1" si="151"/>
        <v>124628</v>
      </c>
      <c r="O330" s="45">
        <f t="shared" ca="1" si="149"/>
        <v>79.380891719745222</v>
      </c>
      <c r="P330" s="45">
        <f t="shared" ca="1" si="150"/>
        <v>78.136677115987467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2">L332+L333</f>
        <v>157000</v>
      </c>
      <c r="M331" s="38">
        <f t="shared" ca="1" si="152"/>
        <v>159500</v>
      </c>
      <c r="N331" s="38">
        <f t="shared" ca="1" si="152"/>
        <v>124628</v>
      </c>
      <c r="O331" s="38">
        <f t="shared" ca="1" si="149"/>
        <v>79.380891719745222</v>
      </c>
      <c r="P331" s="38">
        <f t="shared" ca="1" si="150"/>
        <v>78.136677115987467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49"/>
        <v>0</v>
      </c>
      <c r="P332" s="45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IFERROR(__xludf.DUMMYFUNCTION("IMPORTRANGE(""https://docs.google.com/spreadsheets/d/1MeEWN-I1oV_STSDYn1IFDPWt_1FKiwhDph83XaGc0o0/edit?usp=sharing"",""งบพรบ!EM79"")"),157000)</f>
        <v>157000</v>
      </c>
      <c r="M333" s="45">
        <f ca="1">IFERROR(__xludf.DUMMYFUNCTION("IMPORTRANGE(""https://docs.google.com/spreadsheets/d/1MeEWN-I1oV_STSDYn1IFDPWt_1FKiwhDph83XaGc0o0/edit?usp=sharing"",""งบพรบ!ER79"")"),159500)</f>
        <v>159500</v>
      </c>
      <c r="N333" s="45">
        <f ca="1">IFERROR(__xludf.DUMMYFUNCTION("IMPORTRANGE(""https://docs.google.com/spreadsheets/d/1MeEWN-I1oV_STSDYn1IFDPWt_1FKiwhDph83XaGc0o0/edit?usp=sharing"",""งบพรบ!ET79"")"),124628)</f>
        <v>124628</v>
      </c>
      <c r="O333" s="45">
        <f t="shared" ca="1" si="149"/>
        <v>79.380891719745222</v>
      </c>
      <c r="P333" s="45">
        <f t="shared" ca="1" si="150"/>
        <v>78.136677115987467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3">L335+L336</f>
        <v>0</v>
      </c>
      <c r="M334" s="38">
        <f t="shared" ca="1" si="153"/>
        <v>0</v>
      </c>
      <c r="N334" s="38">
        <f t="shared" ca="1" si="153"/>
        <v>0</v>
      </c>
      <c r="O334" s="38">
        <f t="shared" ca="1" si="149"/>
        <v>0</v>
      </c>
      <c r="P334" s="3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49"/>
        <v>0</v>
      </c>
      <c r="P335" s="45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IFERROR(__xludf.DUMMYFUNCTION("IMPORTRANGE(""https://docs.google.com/spreadsheets/d/1MeEWN-I1oV_STSDYn1IFDPWt_1FKiwhDph83XaGc0o0/edit?usp=sharing"",""งบพรบ!EP79"")"),0)</f>
        <v>0</v>
      </c>
      <c r="M336" s="45">
        <f ca="1">IFERROR(__xludf.DUMMYFUNCTION("IMPORTRANGE(""https://docs.google.com/spreadsheets/d/1MeEWN-I1oV_STSDYn1IFDPWt_1FKiwhDph83XaGc0o0/edit?usp=sharing"",""งบพรบ!ES79"")"),0)</f>
        <v>0</v>
      </c>
      <c r="N336" s="45">
        <f ca="1">IFERROR(__xludf.DUMMYFUNCTION("IMPORTRANGE(""https://docs.google.com/spreadsheets/d/1MeEWN-I1oV_STSDYn1IFDPWt_1FKiwhDph83XaGc0o0/edit?usp=sharing"",""งบพรบ!EU79"")"),0)</f>
        <v>0</v>
      </c>
      <c r="O336" s="45">
        <f t="shared" ca="1" si="149"/>
        <v>0</v>
      </c>
      <c r="P336" s="45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IFERROR(__xludf.DUMMYFUNCTION("IMPORTRANGE(""https://docs.google.com/spreadsheets/d/1QqKyyYR6Q21VydFLVH3TRQUabQu_ym0Zz7PgGX0-kHA/edit?usp=sharing"",""แผน!EG79"")"),300)</f>
        <v>300</v>
      </c>
      <c r="J338" s="37">
        <f ca="1">IFERROR(__xludf.DUMMYFUNCTION("IMPORTRANGE(""https://docs.google.com/spreadsheets/d/1kVcqe37tkHyjCSG3S0O1AXqVkqjo8mSIZil3BcpIysc/edit?usp=sharing"",""ศูนย์!D79"")"),369)</f>
        <v>369</v>
      </c>
      <c r="K338" s="38">
        <f ca="1">IF(I338&gt;0,J338*100/I338,0)</f>
        <v>123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IFERROR(__xludf.DUMMYFUNCTION("IMPORTRANGE(""https://docs.google.com/spreadsheets/d/1QqKyyYR6Q21VydFLVH3TRQUabQu_ym0Zz7PgGX0-kHA/edit?usp=sharing"",""แผน!EH73"")"),2)</f>
        <v>2</v>
      </c>
      <c r="J340" s="37">
        <f ca="1">IFERROR(__xludf.DUMMYFUNCTION("IMPORTRANGE(""https://docs.google.com/spreadsheets/d/1kVcqe37tkHyjCSG3S0O1AXqVkqjo8mSIZil3BcpIysc/edit?usp=sharing"",""ศูนย์!E79"")"),2)</f>
        <v>2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IFERROR(__xludf.DUMMYFUNCTION("IMPORTRANGE(""https://docs.google.com/spreadsheets/d/1kVcqe37tkHyjCSG3S0O1AXqVkqjo8mSIZil3BcpIysc/edit?usp=sharing"",""ศูนย์!F79"")"),235)</f>
        <v>235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IFERROR(__xludf.DUMMYFUNCTION("IMPORTRANGE(""https://docs.google.com/spreadsheets/d/1kVcqe37tkHyjCSG3S0O1AXqVkqjo8mSIZil3BcpIysc/edit?usp=sharing"",""ศูนย์!G79"")"),0)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IFERROR(__xludf.DUMMYFUNCTION("IMPORTRANGE(""https://docs.google.com/spreadsheets/d/1kVcqe37tkHyjCSG3S0O1AXqVkqjo8mSIZil3BcpIysc/edit?usp=sharing"",""ศูนย์!H79"")"),0)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4">L346+L347</f>
        <v>396570</v>
      </c>
      <c r="M345" s="154">
        <f t="shared" ca="1" si="154"/>
        <v>449070</v>
      </c>
      <c r="N345" s="154">
        <f t="shared" ca="1" si="154"/>
        <v>305043.8</v>
      </c>
      <c r="O345" s="154">
        <f t="shared" ref="O345:O353" ca="1" si="155">IF(L345&gt;0,N345*100/L345,0)</f>
        <v>76.920543661900794</v>
      </c>
      <c r="P345" s="154">
        <f t="shared" ref="P345:P353" ca="1" si="156">IF(M345&gt;0,N345*100/M345,0)</f>
        <v>67.927895428329663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7">L349+L352</f>
        <v>0</v>
      </c>
      <c r="M346" s="45">
        <f t="shared" si="157"/>
        <v>0</v>
      </c>
      <c r="N346" s="45">
        <f t="shared" si="157"/>
        <v>0</v>
      </c>
      <c r="O346" s="45">
        <f t="shared" si="155"/>
        <v>0</v>
      </c>
      <c r="P346" s="45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7"/>
        <v>396570</v>
      </c>
      <c r="M347" s="45">
        <f t="shared" ca="1" si="157"/>
        <v>449070</v>
      </c>
      <c r="N347" s="45">
        <f t="shared" ca="1" si="157"/>
        <v>305043.8</v>
      </c>
      <c r="O347" s="45">
        <f t="shared" ca="1" si="155"/>
        <v>76.920543661900794</v>
      </c>
      <c r="P347" s="45">
        <f t="shared" ca="1" si="156"/>
        <v>67.927895428329663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8">L349+L350</f>
        <v>305770</v>
      </c>
      <c r="M348" s="38">
        <f t="shared" ca="1" si="158"/>
        <v>358270</v>
      </c>
      <c r="N348" s="38">
        <f t="shared" ca="1" si="158"/>
        <v>214243.8</v>
      </c>
      <c r="O348" s="38">
        <f t="shared" ca="1" si="155"/>
        <v>70.066978447852961</v>
      </c>
      <c r="P348" s="38">
        <f t="shared" ca="1" si="156"/>
        <v>59.799536662293804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5"/>
        <v>0</v>
      </c>
      <c r="P349" s="45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IFERROR(__xludf.DUMMYFUNCTION("IMPORTRANGE(""https://docs.google.com/spreadsheets/d/1MeEWN-I1oV_STSDYn1IFDPWt_1FKiwhDph83XaGc0o0/edit?usp=sharing"",""งบพรบ!EW79"")"),305770)</f>
        <v>305770</v>
      </c>
      <c r="M350" s="45">
        <f ca="1">IFERROR(__xludf.DUMMYFUNCTION("IMPORTRANGE(""https://docs.google.com/spreadsheets/d/1MeEWN-I1oV_STSDYn1IFDPWt_1FKiwhDph83XaGc0o0/edit?usp=sharing"",""งบพรบ!FB79"")"),358270)</f>
        <v>358270</v>
      </c>
      <c r="N350" s="45">
        <f ca="1">IFERROR(__xludf.DUMMYFUNCTION("IMPORTRANGE(""https://docs.google.com/spreadsheets/d/1MeEWN-I1oV_STSDYn1IFDPWt_1FKiwhDph83XaGc0o0/edit?usp=sharing"",""งบพรบ!FD79"")"),214243.8)</f>
        <v>214243.8</v>
      </c>
      <c r="O350" s="45">
        <f t="shared" ca="1" si="155"/>
        <v>70.066978447852961</v>
      </c>
      <c r="P350" s="45">
        <f t="shared" ca="1" si="156"/>
        <v>59.799536662293804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59">L352+L353</f>
        <v>90800</v>
      </c>
      <c r="M351" s="38">
        <f t="shared" ca="1" si="159"/>
        <v>90800</v>
      </c>
      <c r="N351" s="38">
        <f t="shared" ca="1" si="159"/>
        <v>90800</v>
      </c>
      <c r="O351" s="38">
        <f t="shared" ca="1" si="155"/>
        <v>100</v>
      </c>
      <c r="P351" s="3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5"/>
        <v>0</v>
      </c>
      <c r="P352" s="45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IFERROR(__xludf.DUMMYFUNCTION("IMPORTRANGE(""https://docs.google.com/spreadsheets/d/1MeEWN-I1oV_STSDYn1IFDPWt_1FKiwhDph83XaGc0o0/edit?usp=sharing"",""งบพรบ!EZ79"")"),90800)</f>
        <v>90800</v>
      </c>
      <c r="M353" s="45">
        <f ca="1">IFERROR(__xludf.DUMMYFUNCTION("IMPORTRANGE(""https://docs.google.com/spreadsheets/d/1MeEWN-I1oV_STSDYn1IFDPWt_1FKiwhDph83XaGc0o0/edit?usp=sharing"",""งบพรบ!FC79"")"),90800)</f>
        <v>90800</v>
      </c>
      <c r="N353" s="45">
        <f ca="1">IFERROR(__xludf.DUMMYFUNCTION("IMPORTRANGE(""https://docs.google.com/spreadsheets/d/1MeEWN-I1oV_STSDYn1IFDPWt_1FKiwhDph83XaGc0o0/edit?usp=sharing"",""งบพรบ!FE79"")"),90800)</f>
        <v>90800</v>
      </c>
      <c r="O353" s="45">
        <f t="shared" ca="1" si="155"/>
        <v>100</v>
      </c>
      <c r="P353" s="45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IFERROR(__xludf.DUMMYFUNCTION("IMPORTRANGE(""https://docs.google.com/spreadsheets/d/1QqKyyYR6Q21VydFLVH3TRQUabQu_ym0Zz7PgGX0-kHA/edit?usp=sharing"",""แผน!EP79"")"),27)</f>
        <v>27</v>
      </c>
      <c r="J355" s="438">
        <f ca="1">J362</f>
        <v>28</v>
      </c>
      <c r="K355" s="439">
        <f ca="1">IF(I355&gt;0,J355*100/I355,0)</f>
        <v>103.70370370370371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IFERROR(__xludf.DUMMYFUNCTION("IMPORTRANGE(""https://docs.google.com/spreadsheets/d/1XWAQStnk-4SwqDmLtmXYiTMKHgktTP8We1SCoS47DrQ/edit?usp=sharing"",""จัดที่ดิน!W79"")"),31)</f>
        <v>31</v>
      </c>
      <c r="K358" s="38">
        <f t="shared" ref="K358:K365" si="160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IFERROR(__xludf.DUMMYFUNCTION("IMPORTRANGE(""https://docs.google.com/spreadsheets/d/1QqKyyYR6Q21VydFLVH3TRQUabQu_ym0Zz7PgGX0-kHA/edit?usp=sharing"",""แผน!EO79"")"),90)</f>
        <v>90</v>
      </c>
      <c r="J359" s="37">
        <f ca="1">IFERROR(__xludf.DUMMYFUNCTION("IMPORTRANGE(""https://docs.google.com/spreadsheets/d/1XWAQStnk-4SwqDmLtmXYiTMKHgktTP8We1SCoS47DrQ/edit?usp=sharing"",""จัดที่ดิน!X79"")"),71.96)</f>
        <v>71.959999999999994</v>
      </c>
      <c r="K359" s="38">
        <f t="shared" ca="1" si="160"/>
        <v>79.955555555555549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IFERROR(__xludf.DUMMYFUNCTION("IMPORTRANGE(""https://docs.google.com/spreadsheets/d/1QqKyyYR6Q21VydFLVH3TRQUabQu_ym0Zz7PgGX0-kHA/edit?usp=sharing"",""แผน!EP79"")"),27)</f>
        <v>27</v>
      </c>
      <c r="J360" s="37">
        <f ca="1">IFERROR(__xludf.DUMMYFUNCTION("IMPORTRANGE(""https://docs.google.com/spreadsheets/d/1XWAQStnk-4SwqDmLtmXYiTMKHgktTP8We1SCoS47DrQ/edit?usp=sharing"",""จัดที่ดิน!Y79"")"),33)</f>
        <v>33</v>
      </c>
      <c r="K360" s="38">
        <f t="shared" ca="1" si="160"/>
        <v>122.22222222222223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IFERROR(__xludf.DUMMYFUNCTION("IMPORTRANGE(""https://docs.google.com/spreadsheets/d/1XWAQStnk-4SwqDmLtmXYiTMKHgktTP8We1SCoS47DrQ/edit?usp=sharing"",""จัดที่ดิน!Z79"")"),74.1)</f>
        <v>74.099999999999994</v>
      </c>
      <c r="K361" s="38">
        <f t="shared" si="160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IFERROR(__xludf.DUMMYFUNCTION("IMPORTRANGE(""https://docs.google.com/spreadsheets/d/1QqKyyYR6Q21VydFLVH3TRQUabQu_ym0Zz7PgGX0-kHA/edit?usp=sharing"",""แผน!EP79"")"),27)</f>
        <v>27</v>
      </c>
      <c r="J362" s="37">
        <f ca="1">IFERROR(__xludf.DUMMYFUNCTION("IMPORTRANGE(""https://docs.google.com/spreadsheets/d/1XWAQStnk-4SwqDmLtmXYiTMKHgktTP8We1SCoS47DrQ/edit?usp=sharing"",""จัดที่ดิน!AA79"")"),28)</f>
        <v>28</v>
      </c>
      <c r="K362" s="38">
        <f t="shared" ca="1" si="160"/>
        <v>103.70370370370371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IFERROR(__xludf.DUMMYFUNCTION("IMPORTRANGE(""https://docs.google.com/spreadsheets/d/1XWAQStnk-4SwqDmLtmXYiTMKHgktTP8We1SCoS47DrQ/edit?usp=sharing"",""จัดที่ดิน!AB79"")"),66.46)</f>
        <v>66.459999999999994</v>
      </c>
      <c r="K363" s="38">
        <f t="shared" si="160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1">I365+I374</f>
        <v>42</v>
      </c>
      <c r="J364" s="452">
        <f t="shared" ca="1" si="161"/>
        <v>43</v>
      </c>
      <c r="K364" s="453">
        <f t="shared" ca="1" si="160"/>
        <v>102.38095238095238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IFERROR(__xludf.DUMMYFUNCTION("IMPORTRANGE(""https://docs.google.com/spreadsheets/d/1QqKyyYR6Q21VydFLVH3TRQUabQu_ym0Zz7PgGX0-kHA/edit?usp=sharing"",""แผน!EJ79"")"),17)</f>
        <v>17</v>
      </c>
      <c r="J365" s="462">
        <f ca="1">J372</f>
        <v>17</v>
      </c>
      <c r="K365" s="463">
        <f t="shared" ca="1" si="160"/>
        <v>100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IFERROR(__xludf.DUMMYFUNCTION("IMPORTRANGE(""https://docs.google.com/spreadsheets/d/1XWAQStnk-4SwqDmLtmXYiTMKHgktTP8We1SCoS47DrQ/edit?usp=sharing"",""จัดที่ดิน!E79"")"),21)</f>
        <v>21</v>
      </c>
      <c r="K368" s="38">
        <f t="shared" ref="K368:K374" si="162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IFERROR(__xludf.DUMMYFUNCTION("IMPORTRANGE(""https://docs.google.com/spreadsheets/d/1QqKyyYR6Q21VydFLVH3TRQUabQu_ym0Zz7PgGX0-kHA/edit?usp=sharing"",""แผน!EI79"")"),50)</f>
        <v>50</v>
      </c>
      <c r="J369" s="37">
        <f ca="1">IFERROR(__xludf.DUMMYFUNCTION("IMPORTRANGE(""https://docs.google.com/spreadsheets/d/1XWAQStnk-4SwqDmLtmXYiTMKHgktTP8We1SCoS47DrQ/edit?usp=sharing"",""จัดที่ดิน!F79"")"),50.55)</f>
        <v>50.55</v>
      </c>
      <c r="K369" s="38">
        <f t="shared" ca="1" si="162"/>
        <v>101.1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IFERROR(__xludf.DUMMYFUNCTION("IMPORTRANGE(""https://docs.google.com/spreadsheets/d/1QqKyyYR6Q21VydFLVH3TRQUabQu_ym0Zz7PgGX0-kHA/edit?usp=sharing"",""แผน!EJ79"")"),17)</f>
        <v>17</v>
      </c>
      <c r="J370" s="37">
        <f ca="1">IFERROR(__xludf.DUMMYFUNCTION("IMPORTRANGE(""https://docs.google.com/spreadsheets/d/1XWAQStnk-4SwqDmLtmXYiTMKHgktTP8We1SCoS47DrQ/edit?usp=sharing"",""จัดที่ดิน!G79"")"),22)</f>
        <v>22</v>
      </c>
      <c r="K370" s="38">
        <f t="shared" ca="1" si="162"/>
        <v>129.41176470588235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IFERROR(__xludf.DUMMYFUNCTION("IMPORTRANGE(""https://docs.google.com/spreadsheets/d/1XWAQStnk-4SwqDmLtmXYiTMKHgktTP8We1SCoS47DrQ/edit?usp=sharing"",""จัดที่ดิน!H79"")"),51.45)</f>
        <v>51.45</v>
      </c>
      <c r="K371" s="38">
        <f t="shared" si="162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IFERROR(__xludf.DUMMYFUNCTION("IMPORTRANGE(""https://docs.google.com/spreadsheets/d/1QqKyyYR6Q21VydFLVH3TRQUabQu_ym0Zz7PgGX0-kHA/edit?usp=sharing"",""แผน!EJ79"")"),17)</f>
        <v>17</v>
      </c>
      <c r="J372" s="37">
        <f ca="1">IFERROR(__xludf.DUMMYFUNCTION("IMPORTRANGE(""https://docs.google.com/spreadsheets/d/1XWAQStnk-4SwqDmLtmXYiTMKHgktTP8We1SCoS47DrQ/edit?usp=sharing"",""จัดที่ดิน!I79"")"),17)</f>
        <v>17</v>
      </c>
      <c r="K372" s="38">
        <f t="shared" ca="1" si="162"/>
        <v>100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IFERROR(__xludf.DUMMYFUNCTION("IMPORTRANGE(""https://docs.google.com/spreadsheets/d/1XWAQStnk-4SwqDmLtmXYiTMKHgktTP8We1SCoS47DrQ/edit?usp=sharing"",""จัดที่ดิน!J79"")"),43.81)</f>
        <v>43.81</v>
      </c>
      <c r="K373" s="38">
        <f t="shared" si="162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IFERROR(__xludf.DUMMYFUNCTION("IMPORTRANGE(""https://docs.google.com/spreadsheets/d/1QqKyyYR6Q21VydFLVH3TRQUabQu_ym0Zz7PgGX0-kHA/edit?usp=sharing"",""แผน!EU79"")"),25)</f>
        <v>25</v>
      </c>
      <c r="J374" s="462">
        <f ca="1">J381</f>
        <v>26</v>
      </c>
      <c r="K374" s="463">
        <f t="shared" ca="1" si="162"/>
        <v>104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IFERROR(__xludf.DUMMYFUNCTION("IMPORTRANGE(""https://docs.google.com/spreadsheets/d/1XWAQStnk-4SwqDmLtmXYiTMKHgktTP8We1SCoS47DrQ/edit?usp=sharing"",""จัดที่ดิน!AH79"")"),10)</f>
        <v>10</v>
      </c>
      <c r="K377" s="38">
        <f t="shared" ref="K377:K382" si="163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IFERROR(__xludf.DUMMYFUNCTION("IMPORTRANGE(""https://docs.google.com/spreadsheets/d/1QqKyyYR6Q21VydFLVH3TRQUabQu_ym0Zz7PgGX0-kHA/edit?usp=sharing"",""แผน!ET79"")"),40)</f>
        <v>40</v>
      </c>
      <c r="J378" s="37">
        <f ca="1">IFERROR(__xludf.DUMMYFUNCTION("IMPORTRANGE(""https://docs.google.com/spreadsheets/d/1XWAQStnk-4SwqDmLtmXYiTMKHgktTP8We1SCoS47DrQ/edit?usp=sharing"",""จัดที่ดิน!AI79"")"),21.41)</f>
        <v>21.41</v>
      </c>
      <c r="K378" s="38">
        <f t="shared" ca="1" si="163"/>
        <v>53.524999999999999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IFERROR(__xludf.DUMMYFUNCTION("IMPORTRANGE(""https://docs.google.com/spreadsheets/d/1QqKyyYR6Q21VydFLVH3TRQUabQu_ym0Zz7PgGX0-kHA/edit?usp=sharing"",""แผน!EU79"")"),25)</f>
        <v>25</v>
      </c>
      <c r="J379" s="37">
        <f ca="1">IFERROR(__xludf.DUMMYFUNCTION("IMPORTRANGE(""https://docs.google.com/spreadsheets/d/1XWAQStnk-4SwqDmLtmXYiTMKHgktTP8We1SCoS47DrQ/edit?usp=sharing"",""จัดที่ดิน!AJ79"")"),26)</f>
        <v>26</v>
      </c>
      <c r="K379" s="38">
        <f t="shared" ca="1" si="163"/>
        <v>104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IFERROR(__xludf.DUMMYFUNCTION("IMPORTRANGE(""https://docs.google.com/spreadsheets/d/1XWAQStnk-4SwqDmLtmXYiTMKHgktTP8We1SCoS47DrQ/edit?usp=sharing"",""จัดที่ดิน!AK79"")"),89.6099999999999)</f>
        <v>89.6099999999999</v>
      </c>
      <c r="K380" s="38">
        <f t="shared" si="163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IFERROR(__xludf.DUMMYFUNCTION("IMPORTRANGE(""https://docs.google.com/spreadsheets/d/1QqKyyYR6Q21VydFLVH3TRQUabQu_ym0Zz7PgGX0-kHA/edit?usp=sharing"",""แผน!EU79"")"),25)</f>
        <v>25</v>
      </c>
      <c r="J381" s="37">
        <f ca="1">IFERROR(__xludf.DUMMYFUNCTION("IMPORTRANGE(""https://docs.google.com/spreadsheets/d/1XWAQStnk-4SwqDmLtmXYiTMKHgktTP8We1SCoS47DrQ/edit?usp=sharing"",""จัดที่ดิน!AL79"")"),26)</f>
        <v>26</v>
      </c>
      <c r="K381" s="38">
        <f t="shared" ca="1" si="163"/>
        <v>104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IFERROR(__xludf.DUMMYFUNCTION("IMPORTRANGE(""https://docs.google.com/spreadsheets/d/1XWAQStnk-4SwqDmLtmXYiTMKHgktTP8We1SCoS47DrQ/edit?usp=sharing"",""จัดที่ดิน!AM79"")"),89.6099999999999)</f>
        <v>89.6099999999999</v>
      </c>
      <c r="K382" s="38">
        <f t="shared" si="163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IFERROR(__xludf.DUMMYFUNCTION("IMPORTRANGE(""https://docs.google.com/spreadsheets/d/1QqKyyYR6Q21VydFLVH3TRQUabQu_ym0Zz7PgGX0-kHA/edit?usp=sharing"",""แผน!EW79"")"),0)</f>
        <v>0</v>
      </c>
      <c r="J385" s="365">
        <f ca="1">IFERROR(__xludf.DUMMYFUNCTION("IMPORTRANGE(""https://docs.google.com/spreadsheets/d/1XWAQStnk-4SwqDmLtmXYiTMKHgktTP8We1SCoS47DrQ/edit?usp=sharing"",""จัดที่ดิน!AP79"")"),0)</f>
        <v>0</v>
      </c>
      <c r="K385" s="475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4">I400</f>
        <v>0</v>
      </c>
      <c r="J388" s="495">
        <f t="shared" si="164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5">L390+L391</f>
        <v>0</v>
      </c>
      <c r="M389" s="154">
        <f t="shared" ca="1" si="165"/>
        <v>0</v>
      </c>
      <c r="N389" s="154">
        <f t="shared" ca="1" si="165"/>
        <v>0</v>
      </c>
      <c r="O389" s="154">
        <f t="shared" ref="O389:O397" ca="1" si="166">IF(L389&gt;0,N389*100/L389,0)</f>
        <v>0</v>
      </c>
      <c r="P389" s="154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8">L393+L396</f>
        <v>0</v>
      </c>
      <c r="M390" s="45">
        <f t="shared" si="168"/>
        <v>0</v>
      </c>
      <c r="N390" s="45">
        <f t="shared" si="168"/>
        <v>0</v>
      </c>
      <c r="O390" s="45">
        <f t="shared" si="166"/>
        <v>0</v>
      </c>
      <c r="P390" s="45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8"/>
        <v>0</v>
      </c>
      <c r="M391" s="45">
        <f t="shared" ca="1" si="168"/>
        <v>0</v>
      </c>
      <c r="N391" s="45">
        <f t="shared" ca="1" si="168"/>
        <v>0</v>
      </c>
      <c r="O391" s="45">
        <f t="shared" ca="1" si="166"/>
        <v>0</v>
      </c>
      <c r="P391" s="45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69">L393+L394</f>
        <v>0</v>
      </c>
      <c r="M392" s="38">
        <f t="shared" ca="1" si="169"/>
        <v>0</v>
      </c>
      <c r="N392" s="38">
        <f t="shared" ca="1" si="169"/>
        <v>0</v>
      </c>
      <c r="O392" s="38">
        <f t="shared" ca="1" si="166"/>
        <v>0</v>
      </c>
      <c r="P392" s="3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6"/>
        <v>0</v>
      </c>
      <c r="P393" s="45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IFERROR(__xludf.DUMMYFUNCTION("IMPORTRANGE(""https://docs.google.com/spreadsheets/d/1MeEWN-I1oV_STSDYn1IFDPWt_1FKiwhDph83XaGc0o0/edit?usp=sharing"",""งบพรบ!FG79"")"),0)</f>
        <v>0</v>
      </c>
      <c r="M394" s="45">
        <f ca="1">IFERROR(__xludf.DUMMYFUNCTION("IMPORTRANGE(""https://docs.google.com/spreadsheets/d/1MeEWN-I1oV_STSDYn1IFDPWt_1FKiwhDph83XaGc0o0/edit?usp=sharing"",""งบพรบ!FL79"")"),0)</f>
        <v>0</v>
      </c>
      <c r="N394" s="45">
        <f ca="1">IFERROR(__xludf.DUMMYFUNCTION("IMPORTRANGE(""https://docs.google.com/spreadsheets/d/1MeEWN-I1oV_STSDYn1IFDPWt_1FKiwhDph83XaGc0o0/edit?usp=sharing"",""งบพรบ!FN79"")"),0)</f>
        <v>0</v>
      </c>
      <c r="O394" s="45">
        <f t="shared" ca="1" si="166"/>
        <v>0</v>
      </c>
      <c r="P394" s="45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0">L396+L397</f>
        <v>0</v>
      </c>
      <c r="M395" s="38">
        <f t="shared" ca="1" si="170"/>
        <v>0</v>
      </c>
      <c r="N395" s="38">
        <f t="shared" ca="1" si="170"/>
        <v>0</v>
      </c>
      <c r="O395" s="38">
        <f t="shared" ca="1" si="166"/>
        <v>0</v>
      </c>
      <c r="P395" s="3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6"/>
        <v>0</v>
      </c>
      <c r="P396" s="45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IFERROR(__xludf.DUMMYFUNCTION("IMPORTRANGE(""https://docs.google.com/spreadsheets/d/1MeEWN-I1oV_STSDYn1IFDPWt_1FKiwhDph83XaGc0o0/edit?usp=sharing"",""งบพรบ!FJ79"")"),0)</f>
        <v>0</v>
      </c>
      <c r="M397" s="45">
        <f ca="1">IFERROR(__xludf.DUMMYFUNCTION("IMPORTRANGE(""https://docs.google.com/spreadsheets/d/1MeEWN-I1oV_STSDYn1IFDPWt_1FKiwhDph83XaGc0o0/edit?usp=sharing"",""งบพรบ!FM79"")"),0)</f>
        <v>0</v>
      </c>
      <c r="N397" s="45">
        <f ca="1">IFERROR(__xludf.DUMMYFUNCTION("IMPORTRANGE(""https://docs.google.com/spreadsheets/d/1MeEWN-I1oV_STSDYn1IFDPWt_1FKiwhDph83XaGc0o0/edit?usp=sharing"",""งบพรบ!FO79"")"),0)</f>
        <v>0</v>
      </c>
      <c r="O397" s="45">
        <f t="shared" ca="1" si="166"/>
        <v>0</v>
      </c>
      <c r="P397" s="45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1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1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2">I412</f>
        <v>0</v>
      </c>
      <c r="J401" s="495">
        <f t="shared" si="172"/>
        <v>0</v>
      </c>
      <c r="K401" s="496">
        <f t="shared" si="171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3">L403+L404</f>
        <v>0</v>
      </c>
      <c r="M402" s="154">
        <f t="shared" ca="1" si="173"/>
        <v>0</v>
      </c>
      <c r="N402" s="154">
        <f t="shared" ca="1" si="173"/>
        <v>0</v>
      </c>
      <c r="O402" s="154">
        <f t="shared" ref="O402:O410" ca="1" si="174">IF(L402&gt;0,N402*100/L402,0)</f>
        <v>0</v>
      </c>
      <c r="P402" s="154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6">L406+L409</f>
        <v>0</v>
      </c>
      <c r="M403" s="45">
        <f t="shared" si="176"/>
        <v>0</v>
      </c>
      <c r="N403" s="45">
        <f t="shared" si="176"/>
        <v>0</v>
      </c>
      <c r="O403" s="45">
        <f t="shared" si="174"/>
        <v>0</v>
      </c>
      <c r="P403" s="45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6"/>
        <v>0</v>
      </c>
      <c r="M404" s="45">
        <f t="shared" ca="1" si="176"/>
        <v>0</v>
      </c>
      <c r="N404" s="45">
        <f t="shared" ca="1" si="176"/>
        <v>0</v>
      </c>
      <c r="O404" s="45">
        <f t="shared" ca="1" si="174"/>
        <v>0</v>
      </c>
      <c r="P404" s="45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7">L406+L407</f>
        <v>0</v>
      </c>
      <c r="M405" s="38">
        <f t="shared" ca="1" si="177"/>
        <v>0</v>
      </c>
      <c r="N405" s="38">
        <f t="shared" ca="1" si="177"/>
        <v>0</v>
      </c>
      <c r="O405" s="38">
        <f t="shared" ca="1" si="174"/>
        <v>0</v>
      </c>
      <c r="P405" s="3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4"/>
        <v>0</v>
      </c>
      <c r="P406" s="45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IFERROR(__xludf.DUMMYFUNCTION("IMPORTRANGE(""https://docs.google.com/spreadsheets/d/1MeEWN-I1oV_STSDYn1IFDPWt_1FKiwhDph83XaGc0o0/edit?usp=sharing"",""งบพรบ!FQ79"")"),0)</f>
        <v>0</v>
      </c>
      <c r="M407" s="45">
        <f ca="1">IFERROR(__xludf.DUMMYFUNCTION("IMPORTRANGE(""https://docs.google.com/spreadsheets/d/1MeEWN-I1oV_STSDYn1IFDPWt_1FKiwhDph83XaGc0o0/edit?usp=sharing"",""งบพรบ!FV79"")"),0)</f>
        <v>0</v>
      </c>
      <c r="N407" s="45">
        <f ca="1">IFERROR(__xludf.DUMMYFUNCTION("IMPORTRANGE(""https://docs.google.com/spreadsheets/d/1MeEWN-I1oV_STSDYn1IFDPWt_1FKiwhDph83XaGc0o0/edit?usp=sharing"",""งบพรบ!FX79"")"),0)</f>
        <v>0</v>
      </c>
      <c r="O407" s="45">
        <f t="shared" ca="1" si="174"/>
        <v>0</v>
      </c>
      <c r="P407" s="45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8">L409+L410</f>
        <v>0</v>
      </c>
      <c r="M408" s="38">
        <f t="shared" ca="1" si="178"/>
        <v>0</v>
      </c>
      <c r="N408" s="38">
        <f t="shared" ca="1" si="178"/>
        <v>0</v>
      </c>
      <c r="O408" s="38">
        <f t="shared" ca="1" si="174"/>
        <v>0</v>
      </c>
      <c r="P408" s="3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4"/>
        <v>0</v>
      </c>
      <c r="P409" s="45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IFERROR(__xludf.DUMMYFUNCTION("IMPORTRANGE(""https://docs.google.com/spreadsheets/d/1MeEWN-I1oV_STSDYn1IFDPWt_1FKiwhDph83XaGc0o0/edit?usp=sharing"",""งบพรบ!FT79"")"),0)</f>
        <v>0</v>
      </c>
      <c r="M410" s="45">
        <f ca="1">IFERROR(__xludf.DUMMYFUNCTION("IMPORTRANGE(""https://docs.google.com/spreadsheets/d/1MeEWN-I1oV_STSDYn1IFDPWt_1FKiwhDph83XaGc0o0/edit?usp=sharing"",""งบพรบ!FW79"")"),0)</f>
        <v>0</v>
      </c>
      <c r="N410" s="45">
        <f ca="1">IFERROR(__xludf.DUMMYFUNCTION("IMPORTRANGE(""https://docs.google.com/spreadsheets/d/1MeEWN-I1oV_STSDYn1IFDPWt_1FKiwhDph83XaGc0o0/edit?usp=sharing"",""งบพรบ!FY79"")"),0)</f>
        <v>0</v>
      </c>
      <c r="O410" s="45">
        <f t="shared" ca="1" si="174"/>
        <v>0</v>
      </c>
      <c r="P410" s="45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79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79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0">L419+L444+L467+L502+L523+L544+L629+L655+L685+L737+L754+L770+L786+L805</f>
        <v>737624</v>
      </c>
      <c r="M414" s="521">
        <f t="shared" ca="1" si="180"/>
        <v>732014</v>
      </c>
      <c r="N414" s="521">
        <f t="shared" si="180"/>
        <v>588080</v>
      </c>
      <c r="O414" s="521">
        <f ca="1">IF(L414&gt;0,N414*100/L414,0)</f>
        <v>79.726256195568467</v>
      </c>
      <c r="P414" s="521">
        <f ca="1">IF(M414&gt;0,N414*100/M414,0)</f>
        <v>80.337261309209936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1">I433</f>
        <v>15</v>
      </c>
      <c r="J417" s="536">
        <f t="shared" ca="1" si="181"/>
        <v>15</v>
      </c>
      <c r="K417" s="537">
        <f t="shared" ref="K417:K418" ca="1" si="182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1"/>
        <v>1</v>
      </c>
      <c r="J418" s="536">
        <f t="shared" si="181"/>
        <v>1</v>
      </c>
      <c r="K418" s="537">
        <f t="shared" ca="1" si="182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3">L420+L421</f>
        <v>98660</v>
      </c>
      <c r="M419" s="154">
        <f t="shared" ca="1" si="183"/>
        <v>93050</v>
      </c>
      <c r="N419" s="154">
        <f t="shared" si="183"/>
        <v>88180</v>
      </c>
      <c r="O419" s="154">
        <f t="shared" ref="O419:O424" ca="1" si="184">IF(L419&gt;0,N419*100/L419,0)</f>
        <v>89.377660652746812</v>
      </c>
      <c r="P419" s="154">
        <f t="shared" ref="P419:P424" ca="1" si="185">IF(M419&gt;0,N419*100/M419,0)</f>
        <v>94.766254701773235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6">L423+L430</f>
        <v>0</v>
      </c>
      <c r="M420" s="45">
        <f t="shared" si="186"/>
        <v>0</v>
      </c>
      <c r="N420" s="45">
        <f t="shared" si="186"/>
        <v>0</v>
      </c>
      <c r="O420" s="45">
        <f t="shared" si="184"/>
        <v>0</v>
      </c>
      <c r="P420" s="45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6"/>
        <v>98660</v>
      </c>
      <c r="M421" s="45">
        <f t="shared" ca="1" si="186"/>
        <v>93050</v>
      </c>
      <c r="N421" s="45">
        <f t="shared" si="186"/>
        <v>88180</v>
      </c>
      <c r="O421" s="45">
        <f t="shared" ca="1" si="184"/>
        <v>89.377660652746812</v>
      </c>
      <c r="P421" s="45">
        <f t="shared" ca="1" si="185"/>
        <v>94.766254701773235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7">L423+L424</f>
        <v>98660</v>
      </c>
      <c r="M422" s="38">
        <f t="shared" ca="1" si="187"/>
        <v>93050</v>
      </c>
      <c r="N422" s="38">
        <f t="shared" si="187"/>
        <v>88180</v>
      </c>
      <c r="O422" s="38">
        <f t="shared" ca="1" si="184"/>
        <v>89.377660652746812</v>
      </c>
      <c r="P422" s="38">
        <f t="shared" ca="1" si="185"/>
        <v>94.766254701773235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4"/>
        <v>0</v>
      </c>
      <c r="P423" s="45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IFERROR(__xludf.DUMMYFUNCTION("IMPORTRANGE(""https://docs.google.com/spreadsheets/d/1QqKyyYR6Q21VydFLVH3TRQUabQu_ym0Zz7PgGX0-kHA/edit?usp=sharing"",""แผน!EY79"")"),98660)</f>
        <v>98660</v>
      </c>
      <c r="M424" s="45">
        <f ca="1">L424-5610</f>
        <v>93050</v>
      </c>
      <c r="N424" s="45">
        <f>N425+N426+N427+N428</f>
        <v>88180</v>
      </c>
      <c r="O424" s="45">
        <f t="shared" ca="1" si="184"/>
        <v>89.377660652746812</v>
      </c>
      <c r="P424" s="45">
        <f t="shared" ca="1" si="185"/>
        <v>94.766254701773235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f>[1]ผลการเบิกจ่ายเงินกองทุน!F48</f>
        <v>36300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[1]ผลการเบิกจ่ายเงินกองทุน!F47+[1]ผลการเบิกจ่ายเงินกองทุน!F49+[1]ผลการเบิกจ่ายเงินกองทุน!F50+[1]ผลการเบิกจ่ายเงินกองทุน!F51+[1]ผลการเบิกจ่ายเงินกองทุน!F52+[1]ผลการเบิกจ่ายเงินกองทุน!F53</f>
        <v>51880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8">L430+L431</f>
        <v>0</v>
      </c>
      <c r="M429" s="38">
        <f t="shared" si="188"/>
        <v>0</v>
      </c>
      <c r="N429" s="38">
        <f t="shared" si="188"/>
        <v>0</v>
      </c>
      <c r="O429" s="38">
        <f t="shared" ref="O429:O431" ca="1" si="189">IF(L429&gt;0,N429*100/L429,0)</f>
        <v>0</v>
      </c>
      <c r="P429" s="3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89"/>
        <v>0</v>
      </c>
      <c r="P430" s="45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IFERROR(__xludf.DUMMYFUNCTION("IMPORTRANGE(""https://docs.google.com/spreadsheets/d/1QqKyyYR6Q21VydFLVH3TRQUabQu_ym0Zz7PgGX0-kHA/edit?usp=sharing"",""แผน!FB79"")"),0)</f>
        <v>0</v>
      </c>
      <c r="M431" s="45">
        <v>0</v>
      </c>
      <c r="N431" s="45">
        <v>0</v>
      </c>
      <c r="O431" s="45">
        <f t="shared" ca="1" si="189"/>
        <v>0</v>
      </c>
      <c r="P431" s="45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1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2">I438+I440</f>
        <v>1</v>
      </c>
      <c r="J434" s="190">
        <f t="shared" si="192"/>
        <v>1</v>
      </c>
      <c r="K434" s="191">
        <f t="shared" ca="1" si="191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IFERROR(__xludf.DUMMYFUNCTION("IMPORTRANGE(""https://docs.google.com/spreadsheets/d/1QqKyyYR6Q21VydFLVH3TRQUabQu_ym0Zz7PgGX0-kHA/edit?usp=sharing"",""แผน!FC79"")"),15)</f>
        <v>15</v>
      </c>
      <c r="J435" s="549">
        <v>15</v>
      </c>
      <c r="K435" s="38">
        <f t="shared" ca="1" si="191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IFERROR(__xludf.DUMMYFUNCTION("IMPORTRANGE(""https://docs.google.com/spreadsheets/d/1QqKyyYR6Q21VydFLVH3TRQUabQu_ym0Zz7PgGX0-kHA/edit?usp=sharing"",""แผน!FD79"")"),0)</f>
        <v>0</v>
      </c>
      <c r="J437" s="549">
        <v>0</v>
      </c>
      <c r="K437" s="38">
        <f t="shared" ref="K437:K443" ca="1" si="193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IFERROR(__xludf.DUMMYFUNCTION("IMPORTRANGE(""https://docs.google.com/spreadsheets/d/1QqKyyYR6Q21VydFLVH3TRQUabQu_ym0Zz7PgGX0-kHA/edit?usp=sharing"",""แผน!FE79"")"),0)</f>
        <v>0</v>
      </c>
      <c r="J438" s="181">
        <v>0</v>
      </c>
      <c r="K438" s="38">
        <f t="shared" ca="1" si="193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IFERROR(__xludf.DUMMYFUNCTION("IMPORTRANGE(""https://docs.google.com/spreadsheets/d/1QqKyyYR6Q21VydFLVH3TRQUabQu_ym0Zz7PgGX0-kHA/edit?usp=sharing"",""แผน!FF79"")"),15)</f>
        <v>15</v>
      </c>
      <c r="J439" s="549">
        <v>15</v>
      </c>
      <c r="K439" s="38">
        <f t="shared" ca="1" si="193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IFERROR(__xludf.DUMMYFUNCTION("IMPORTRANGE(""https://docs.google.com/spreadsheets/d/1QqKyyYR6Q21VydFLVH3TRQUabQu_ym0Zz7PgGX0-kHA/edit?usp=sharing"",""แผน!FG79"")"),1)</f>
        <v>1</v>
      </c>
      <c r="J440" s="181">
        <v>1</v>
      </c>
      <c r="K440" s="38">
        <f t="shared" ca="1" si="193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IFERROR(__xludf.DUMMYFUNCTION("IMPORTRANGE(""https://docs.google.com/spreadsheets/d/1QqKyyYR6Q21VydFLVH3TRQUabQu_ym0Zz7PgGX0-kHA/edit?usp=sharing"",""แผน!FH79"")"),0)</f>
        <v>0</v>
      </c>
      <c r="J441" s="37">
        <v>0</v>
      </c>
      <c r="K441" s="38">
        <f t="shared" ca="1" si="193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 hidden="1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4">I460</f>
        <v>0</v>
      </c>
      <c r="J442" s="555">
        <f t="shared" si="194"/>
        <v>0</v>
      </c>
      <c r="K442" s="556">
        <f t="shared" ca="1" si="193"/>
        <v>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 hidden="1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5">I462</f>
        <v>0</v>
      </c>
      <c r="J443" s="536">
        <f t="shared" si="195"/>
        <v>0</v>
      </c>
      <c r="K443" s="537">
        <f t="shared" ca="1" si="193"/>
        <v>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 hidden="1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6">L445+L446</f>
        <v>0</v>
      </c>
      <c r="M444" s="191">
        <f t="shared" si="196"/>
        <v>0</v>
      </c>
      <c r="N444" s="191">
        <f t="shared" si="196"/>
        <v>0</v>
      </c>
      <c r="O444" s="191">
        <f t="shared" ref="O444:O449" ca="1" si="197">IF(L444&gt;0,N444*100/L444,0)</f>
        <v>0</v>
      </c>
      <c r="P444" s="191">
        <f t="shared" ref="P444:P449" si="198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199">L448+L455</f>
        <v>0</v>
      </c>
      <c r="M445" s="45">
        <f t="shared" si="199"/>
        <v>0</v>
      </c>
      <c r="N445" s="45">
        <f t="shared" si="199"/>
        <v>0</v>
      </c>
      <c r="O445" s="45">
        <f t="shared" si="197"/>
        <v>0</v>
      </c>
      <c r="P445" s="45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199"/>
        <v>0</v>
      </c>
      <c r="M446" s="45">
        <f t="shared" si="199"/>
        <v>0</v>
      </c>
      <c r="N446" s="45">
        <f t="shared" si="199"/>
        <v>0</v>
      </c>
      <c r="O446" s="45">
        <f t="shared" ca="1" si="197"/>
        <v>0</v>
      </c>
      <c r="P446" s="45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 hidden="1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0">L448+L449</f>
        <v>0</v>
      </c>
      <c r="M447" s="38">
        <f t="shared" si="200"/>
        <v>0</v>
      </c>
      <c r="N447" s="38">
        <f t="shared" si="200"/>
        <v>0</v>
      </c>
      <c r="O447" s="38">
        <f t="shared" ca="1" si="197"/>
        <v>0</v>
      </c>
      <c r="P447" s="38">
        <f t="shared" si="198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7"/>
        <v>0</v>
      </c>
      <c r="P448" s="45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IFERROR(__xludf.DUMMYFUNCTION("IMPORTRANGE(""https://docs.google.com/spreadsheets/d/1QqKyyYR6Q21VydFLVH3TRQUabQu_ym0Zz7PgGX0-kHA/edit?usp=sharing"",""แผน!FJ79"")"),0)</f>
        <v>0</v>
      </c>
      <c r="M449" s="45">
        <v>0</v>
      </c>
      <c r="N449" s="45">
        <f>N450+N451+N452+N453</f>
        <v>0</v>
      </c>
      <c r="O449" s="45">
        <f t="shared" ca="1" si="197"/>
        <v>0</v>
      </c>
      <c r="P449" s="45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 hidden="1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 hidden="1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 hidden="1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 hidden="1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 hidden="1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1">L455+L456</f>
        <v>0</v>
      </c>
      <c r="M454" s="38">
        <f t="shared" si="201"/>
        <v>0</v>
      </c>
      <c r="N454" s="38">
        <f t="shared" si="201"/>
        <v>0</v>
      </c>
      <c r="O454" s="38">
        <f t="shared" ref="O454:O456" ca="1" si="202">IF(L454&gt;0,N454*100/L454,0)</f>
        <v>0</v>
      </c>
      <c r="P454" s="38">
        <f t="shared" ref="P454:P456" si="203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2"/>
        <v>0</v>
      </c>
      <c r="P455" s="45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IFERROR(__xludf.DUMMYFUNCTION("IMPORTRANGE(""https://docs.google.com/spreadsheets/d/1QqKyyYR6Q21VydFLVH3TRQUabQu_ym0Zz7PgGX0-kHA/edit?usp=sharing"",""แผน!FM79"")"),0)</f>
        <v>0</v>
      </c>
      <c r="M456" s="45">
        <v>0</v>
      </c>
      <c r="N456" s="45">
        <v>0</v>
      </c>
      <c r="O456" s="45">
        <f t="shared" ca="1" si="202"/>
        <v>0</v>
      </c>
      <c r="P456" s="45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 hidden="1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 hidden="1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IFERROR(__xludf.DUMMYFUNCTION("IMPORTRANGE(""https://docs.google.com/spreadsheets/d/1QqKyyYR6Q21VydFLVH3TRQUabQu_ym0Zz7PgGX0-kHA/edit?usp=sharing"",""แผน!FN79"")"),0)</f>
        <v>0</v>
      </c>
      <c r="J460" s="181">
        <v>0</v>
      </c>
      <c r="K460" s="38">
        <f ca="1">IF(I460&gt;0,J460*100/I460,0)</f>
        <v>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 hidden="1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 hidden="1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IFERROR(__xludf.DUMMYFUNCTION("IMPORTRANGE(""https://docs.google.com/spreadsheets/d/1QqKyyYR6Q21VydFLVH3TRQUabQu_ym0Zz7PgGX0-kHA/edit?usp=sharing"",""แผน!FO79"")"),0)</f>
        <v>0</v>
      </c>
      <c r="J462" s="181">
        <v>0</v>
      </c>
      <c r="K462" s="38">
        <f ca="1">IF(I462&gt;0,J462*100/I462,0)</f>
        <v>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 hidden="1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IFERROR(__xludf.DUMMYFUNCTION("IMPORTRANGE(""https://docs.google.com/spreadsheets/d/1QqKyyYR6Q21VydFLVH3TRQUabQu_ym0Zz7PgGX0-kHA/edit?usp=sharing"",""แผน!FO79"")"),0)</f>
        <v>0</v>
      </c>
      <c r="J463" s="181">
        <v>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 hidden="1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IFERROR(__xludf.DUMMYFUNCTION("IMPORTRANGE(""https://docs.google.com/spreadsheets/d/1QqKyyYR6Q21VydFLVH3TRQUabQu_ym0Zz7PgGX0-kHA/edit?usp=sharing"",""แผน!FN79"")"),0)</f>
        <v>0</v>
      </c>
      <c r="J464" s="181">
        <v>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IFERROR(__xludf.DUMMYFUNCTION("IMPORTRANGE(""https://docs.google.com/spreadsheets/d/1QqKyyYR6Q21VydFLVH3TRQUabQu_ym0Zz7PgGX0-kHA/edit?usp=sharing"",""แผน!FX79"")"),11)</f>
        <v>11</v>
      </c>
      <c r="J465" s="555">
        <f>J485+J489+J492</f>
        <v>11</v>
      </c>
      <c r="K465" s="556">
        <f t="shared" ref="K465:K466" ca="1" si="204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IFERROR(__xludf.DUMMYFUNCTION("IMPORTRANGE(""https://docs.google.com/spreadsheets/d/1QqKyyYR6Q21VydFLVH3TRQUabQu_ym0Zz7PgGX0-kHA/edit?usp=sharing"",""แผน!FW79"")"),100)</f>
        <v>100</v>
      </c>
      <c r="J466" s="536">
        <f>J495+J498</f>
        <v>100</v>
      </c>
      <c r="K466" s="537">
        <f t="shared" ca="1" si="204"/>
        <v>100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5">L468+L469</f>
        <v>115023</v>
      </c>
      <c r="M467" s="191">
        <f t="shared" ca="1" si="205"/>
        <v>115023</v>
      </c>
      <c r="N467" s="191">
        <f t="shared" si="205"/>
        <v>115023</v>
      </c>
      <c r="O467" s="191">
        <f t="shared" ref="O467:O472" ca="1" si="206">IF(L467&gt;0,N467*100/L467,0)</f>
        <v>100</v>
      </c>
      <c r="P467" s="191">
        <f t="shared" ref="P467:P472" ca="1" si="207">IF(M467&gt;0,N467*100/M467,0)</f>
        <v>100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8">L471+L478</f>
        <v>0</v>
      </c>
      <c r="M468" s="45">
        <f t="shared" si="208"/>
        <v>0</v>
      </c>
      <c r="N468" s="45">
        <f t="shared" si="208"/>
        <v>0</v>
      </c>
      <c r="O468" s="45">
        <f t="shared" si="206"/>
        <v>0</v>
      </c>
      <c r="P468" s="45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8"/>
        <v>115023</v>
      </c>
      <c r="M469" s="45">
        <f t="shared" ca="1" si="208"/>
        <v>115023</v>
      </c>
      <c r="N469" s="45">
        <f t="shared" si="208"/>
        <v>115023</v>
      </c>
      <c r="O469" s="45">
        <f t="shared" ca="1" si="206"/>
        <v>100</v>
      </c>
      <c r="P469" s="45">
        <f t="shared" ca="1" si="207"/>
        <v>100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09">L471+L472</f>
        <v>115023</v>
      </c>
      <c r="M470" s="38">
        <f t="shared" ca="1" si="209"/>
        <v>115023</v>
      </c>
      <c r="N470" s="38">
        <f t="shared" si="209"/>
        <v>115023</v>
      </c>
      <c r="O470" s="38">
        <f t="shared" ca="1" si="206"/>
        <v>100</v>
      </c>
      <c r="P470" s="38">
        <f t="shared" ca="1" si="207"/>
        <v>100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6"/>
        <v>0</v>
      </c>
      <c r="P471" s="45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IFERROR(__xludf.DUMMYFUNCTION("IMPORTRANGE(""https://docs.google.com/spreadsheets/d/1QqKyyYR6Q21VydFLVH3TRQUabQu_ym0Zz7PgGX0-kHA/edit?usp=sharing"",""แผน!FS79"")"),115023)</f>
        <v>115023</v>
      </c>
      <c r="M472" s="45">
        <f ca="1">L472</f>
        <v>115023</v>
      </c>
      <c r="N472" s="45">
        <f>N473+N474+N475+N476</f>
        <v>115023</v>
      </c>
      <c r="O472" s="45">
        <f t="shared" ca="1" si="206"/>
        <v>100</v>
      </c>
      <c r="P472" s="45">
        <f t="shared" ca="1" si="207"/>
        <v>100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f>[1]ผลการเบิกจ่ายเงินกองทุน!F57+[1]ผลการเบิกจ่ายเงินกองทุน!F62</f>
        <v>29793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f>[1]ผลการเบิกจ่ายเงินกองทุน!F60</f>
        <v>66000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>[1]ผลการเบิกจ่ายเงินกองทุน!F55+[1]ผลการเบิกจ่ายเงินกองทุน!F56+[1]ผลการเบิกจ่ายเงินกองทุน!F58+[1]ผลการเบิกจ่ายเงินกองทุน!F59+[1]ผลการเบิกจ่ายเงินกองทุน!F61</f>
        <v>19230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0">L478+L479</f>
        <v>0</v>
      </c>
      <c r="M477" s="38">
        <f t="shared" si="210"/>
        <v>0</v>
      </c>
      <c r="N477" s="38">
        <f t="shared" si="210"/>
        <v>0</v>
      </c>
      <c r="O477" s="38">
        <f t="shared" ref="O477:O479" ca="1" si="211">IF(L477&gt;0,N477*100/L477,0)</f>
        <v>0</v>
      </c>
      <c r="P477" s="38">
        <f t="shared" ref="P477:P479" si="212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1"/>
        <v>0</v>
      </c>
      <c r="P478" s="45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IFERROR(__xludf.DUMMYFUNCTION("IMPORTRANGE(""https://docs.google.com/spreadsheets/d/1QqKyyYR6Q21VydFLVH3TRQUabQu_ym0Zz7PgGX0-kHA/edit?usp=sharing"",""แผน!FV79"")"),0)</f>
        <v>0</v>
      </c>
      <c r="M479" s="45">
        <v>0</v>
      </c>
      <c r="N479" s="45">
        <v>0</v>
      </c>
      <c r="O479" s="45">
        <f t="shared" ca="1" si="211"/>
        <v>0</v>
      </c>
      <c r="P479" s="45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IFERROR(__xludf.DUMMYFUNCTION("IMPORTRANGE(""https://docs.google.com/spreadsheets/d/1QqKyyYR6Q21VydFLVH3TRQUabQu_ym0Zz7PgGX0-kHA/edit?usp=sharing"",""แผน!FY79"")"),90)</f>
        <v>90</v>
      </c>
      <c r="J483" s="181">
        <v>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13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IFERROR(__xludf.DUMMYFUNCTION("IMPORTRANGE(""https://docs.google.com/spreadsheets/d/1QqKyyYR6Q21VydFLVH3TRQUabQu_ym0Zz7PgGX0-kHA/edit?usp=sharing"",""แผน!FZ79"")"),9)</f>
        <v>9</v>
      </c>
      <c r="J485" s="181">
        <v>9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IFERROR(__xludf.DUMMYFUNCTION("IMPORTRANGE(""https://docs.google.com/spreadsheets/d/1QqKyyYR6Q21VydFLVH3TRQUabQu_ym0Zz7PgGX0-kHA/edit?usp=sharing"",""แผน!GA79"")"),10)</f>
        <v>10</v>
      </c>
      <c r="J487" s="181">
        <v>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1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IFERROR(__xludf.DUMMYFUNCTION("IMPORTRANGE(""https://docs.google.com/spreadsheets/d/1QqKyyYR6Q21VydFLVH3TRQUabQu_ym0Zz7PgGX0-kHA/edit?usp=sharing"",""แผน!GB79"")"),1)</f>
        <v>1</v>
      </c>
      <c r="J489" s="181">
        <v>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IFERROR(__xludf.DUMMYFUNCTION("IMPORTRANGE(""https://docs.google.com/spreadsheets/d/1QqKyyYR6Q21VydFLVH3TRQUabQu_ym0Zz7PgGX0-kHA/edit?usp=sharing"",""แผน!GC79"")"),1)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IFERROR(__xludf.DUMMYFUNCTION("IMPORTRANGE(""https://docs.google.com/spreadsheets/d/1QqKyyYR6Q21VydFLVH3TRQUabQu_ym0Zz7PgGX0-kHA/edit?usp=sharing"",""แผน!FY79"")"),90)</f>
        <v>90</v>
      </c>
      <c r="J495" s="181">
        <v>90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IFERROR(__xludf.DUMMYFUNCTION("IMPORTRANGE(""https://docs.google.com/spreadsheets/d/1QqKyyYR6Q21VydFLVH3TRQUabQu_ym0Zz7PgGX0-kHA/edit?usp=sharing"",""แผน!GA79"")"),10)</f>
        <v>10</v>
      </c>
      <c r="J498" s="181">
        <v>10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3">J516</f>
        <v>0</v>
      </c>
      <c r="K500" s="589">
        <f t="shared" ref="K500:K501" si="214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3"/>
        <v>0</v>
      </c>
      <c r="K501" s="597">
        <f t="shared" si="214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5">L503+L504</f>
        <v>0</v>
      </c>
      <c r="M502" s="601">
        <f t="shared" si="215"/>
        <v>0</v>
      </c>
      <c r="N502" s="601">
        <f t="shared" si="215"/>
        <v>0</v>
      </c>
      <c r="O502" s="601">
        <f t="shared" ref="O502:O507" si="216">IF(L502&gt;0,N502*100/L502,0)</f>
        <v>0</v>
      </c>
      <c r="P502" s="601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8">L506+L513</f>
        <v>0</v>
      </c>
      <c r="M503" s="45">
        <f t="shared" si="218"/>
        <v>0</v>
      </c>
      <c r="N503" s="45">
        <f t="shared" si="218"/>
        <v>0</v>
      </c>
      <c r="O503" s="45">
        <f t="shared" si="216"/>
        <v>0</v>
      </c>
      <c r="P503" s="45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8"/>
        <v>0</v>
      </c>
      <c r="M504" s="45">
        <f t="shared" si="218"/>
        <v>0</v>
      </c>
      <c r="N504" s="45">
        <f t="shared" si="218"/>
        <v>0</v>
      </c>
      <c r="O504" s="45">
        <f t="shared" si="216"/>
        <v>0</v>
      </c>
      <c r="P504" s="45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19">L506+L507</f>
        <v>0</v>
      </c>
      <c r="M505" s="45">
        <f t="shared" si="219"/>
        <v>0</v>
      </c>
      <c r="N505" s="45">
        <f t="shared" si="219"/>
        <v>0</v>
      </c>
      <c r="O505" s="45">
        <f t="shared" si="216"/>
        <v>0</v>
      </c>
      <c r="P505" s="45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6"/>
        <v>0</v>
      </c>
      <c r="P506" s="45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6"/>
        <v>0</v>
      </c>
      <c r="P507" s="45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0">L513+L514</f>
        <v>0</v>
      </c>
      <c r="M512" s="45">
        <f t="shared" si="220"/>
        <v>0</v>
      </c>
      <c r="N512" s="45">
        <f t="shared" si="220"/>
        <v>0</v>
      </c>
      <c r="O512" s="45">
        <f t="shared" ref="O512:O514" si="221">IF(L512&gt;0,N512*100/L512,0)</f>
        <v>0</v>
      </c>
      <c r="P512" s="45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1"/>
        <v>0</v>
      </c>
      <c r="P513" s="45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1"/>
        <v>0</v>
      </c>
      <c r="P514" s="45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3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3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 hidden="1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 hidden="1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4">I537</f>
        <v>0</v>
      </c>
      <c r="J522" s="630">
        <f t="shared" ca="1" si="224"/>
        <v>0</v>
      </c>
      <c r="K522" s="631">
        <f ca="1">IF(I522&gt;0,J522*100/I522,0)</f>
        <v>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 hidden="1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5">L524+L525</f>
        <v>0</v>
      </c>
      <c r="M523" s="191">
        <f t="shared" si="225"/>
        <v>0</v>
      </c>
      <c r="N523" s="191">
        <f t="shared" si="225"/>
        <v>0</v>
      </c>
      <c r="O523" s="191">
        <f t="shared" ref="O523:O528" ca="1" si="226">IF(L523&gt;0,N523*100/L523,0)</f>
        <v>0</v>
      </c>
      <c r="P523" s="191">
        <f t="shared" ref="P523:P528" si="227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8">L527+L534</f>
        <v>0</v>
      </c>
      <c r="M524" s="45">
        <f t="shared" si="228"/>
        <v>0</v>
      </c>
      <c r="N524" s="45">
        <f t="shared" si="228"/>
        <v>0</v>
      </c>
      <c r="O524" s="45">
        <f t="shared" si="226"/>
        <v>0</v>
      </c>
      <c r="P524" s="45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8"/>
        <v>0</v>
      </c>
      <c r="M525" s="45">
        <f t="shared" si="228"/>
        <v>0</v>
      </c>
      <c r="N525" s="45">
        <f t="shared" si="228"/>
        <v>0</v>
      </c>
      <c r="O525" s="45">
        <f t="shared" ca="1" si="226"/>
        <v>0</v>
      </c>
      <c r="P525" s="45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 hidden="1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29">L527+L528</f>
        <v>0</v>
      </c>
      <c r="M526" s="38">
        <f t="shared" si="229"/>
        <v>0</v>
      </c>
      <c r="N526" s="38">
        <f t="shared" si="229"/>
        <v>0</v>
      </c>
      <c r="O526" s="38">
        <f t="shared" ca="1" si="226"/>
        <v>0</v>
      </c>
      <c r="P526" s="38">
        <f t="shared" si="227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6"/>
        <v>0</v>
      </c>
      <c r="P527" s="45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IFERROR(__xludf.DUMMYFUNCTION("IMPORTRANGE(""https://docs.google.com/spreadsheets/d/1QqKyyYR6Q21VydFLVH3TRQUabQu_ym0Zz7PgGX0-kHA/edit?usp=sharing"",""แผน!GQ79"")"),0)</f>
        <v>0</v>
      </c>
      <c r="M528" s="45">
        <v>0</v>
      </c>
      <c r="N528" s="45">
        <f>N529+N530+N531+N532</f>
        <v>0</v>
      </c>
      <c r="O528" s="45">
        <f t="shared" ca="1" si="226"/>
        <v>0</v>
      </c>
      <c r="P528" s="45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 hidden="1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 hidden="1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 hidden="1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 hidden="1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 hidden="1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0">L534+L535</f>
        <v>0</v>
      </c>
      <c r="M533" s="38">
        <f t="shared" si="230"/>
        <v>0</v>
      </c>
      <c r="N533" s="38">
        <f t="shared" si="230"/>
        <v>0</v>
      </c>
      <c r="O533" s="38">
        <f t="shared" ref="O533:O535" ca="1" si="231">IF(L533&gt;0,N533*100/L533,0)</f>
        <v>0</v>
      </c>
      <c r="P533" s="38">
        <f t="shared" ref="P533:P535" si="232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1"/>
        <v>0</v>
      </c>
      <c r="P534" s="45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IFERROR(__xludf.DUMMYFUNCTION("IMPORTRANGE(""https://docs.google.com/spreadsheets/d/1QqKyyYR6Q21VydFLVH3TRQUabQu_ym0Zz7PgGX0-kHA/edit?usp=sharing"",""แผน!GT79"")"),0)</f>
        <v>0</v>
      </c>
      <c r="M535" s="45">
        <v>0</v>
      </c>
      <c r="N535" s="45">
        <v>0</v>
      </c>
      <c r="O535" s="45">
        <f t="shared" ca="1" si="231"/>
        <v>0</v>
      </c>
      <c r="P535" s="45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 hidden="1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 hidden="1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IFERROR(__xludf.DUMMYFUNCTION("IMPORTRANGE(""https://docs.google.com/spreadsheets/d/1QqKyyYR6Q21VydFLVH3TRQUabQu_ym0Zz7PgGX0-kHA/edit?usp=sharing"",""แผน!GU79"")"),0)</f>
        <v>0</v>
      </c>
      <c r="J537" s="190">
        <f ca="1">IF(AND(J538=I538,J539=I539,J540=I540,J541=I541),I537,0)</f>
        <v>0</v>
      </c>
      <c r="K537" s="38">
        <f t="shared" ref="K537:K543" ca="1" si="233">IF(I537&gt;0,J537*100/I537,0)</f>
        <v>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 hidden="1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IFERROR(__xludf.DUMMYFUNCTION("IMPORTRANGE(""https://docs.google.com/spreadsheets/d/1QqKyyYR6Q21VydFLVH3TRQUabQu_ym0Zz7PgGX0-kHA/edit?usp=sharing"",""แผน!GV79"")"),0)</f>
        <v>0</v>
      </c>
      <c r="J538" s="181">
        <v>0</v>
      </c>
      <c r="K538" s="38">
        <f t="shared" ca="1" si="233"/>
        <v>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 hidden="1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IFERROR(__xludf.DUMMYFUNCTION("IMPORTRANGE(""https://docs.google.com/spreadsheets/d/1QqKyyYR6Q21VydFLVH3TRQUabQu_ym0Zz7PgGX0-kHA/edit?usp=sharing"",""แผน!GW79"")"),0)</f>
        <v>0</v>
      </c>
      <c r="J539" s="181">
        <v>0</v>
      </c>
      <c r="K539" s="38">
        <f t="shared" ca="1" si="233"/>
        <v>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 hidden="1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IFERROR(__xludf.DUMMYFUNCTION("IMPORTRANGE(""https://docs.google.com/spreadsheets/d/1QqKyyYR6Q21VydFLVH3TRQUabQu_ym0Zz7PgGX0-kHA/edit?usp=sharing"",""แผน!GX79"")"),0)</f>
        <v>0</v>
      </c>
      <c r="J540" s="181">
        <v>0</v>
      </c>
      <c r="K540" s="38">
        <f t="shared" ca="1" si="233"/>
        <v>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 hidden="1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IFERROR(__xludf.DUMMYFUNCTION("IMPORTRANGE(""https://docs.google.com/spreadsheets/d/1QqKyyYR6Q21VydFLVH3TRQUabQu_ym0Zz7PgGX0-kHA/edit?usp=sharing"",""แผน!GY79"")"),0)</f>
        <v>0</v>
      </c>
      <c r="J541" s="181">
        <v>0</v>
      </c>
      <c r="K541" s="38">
        <f t="shared" ca="1" si="233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 hidden="1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IFERROR(__xludf.DUMMYFUNCTION("IMPORTRANGE(""https://docs.google.com/spreadsheets/d/1QqKyyYR6Q21VydFLVH3TRQUabQu_ym0Zz7PgGX0-kHA/edit?usp=sharing"",""แผน!GZ79"")"),0)</f>
        <v>0</v>
      </c>
      <c r="J542" s="181">
        <v>0</v>
      </c>
      <c r="K542" s="38">
        <f t="shared" ca="1" si="233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4">I559</f>
        <v>5970</v>
      </c>
      <c r="J543" s="638">
        <f t="shared" si="234"/>
        <v>5970</v>
      </c>
      <c r="K543" s="639">
        <f t="shared" ca="1" si="233"/>
        <v>100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5">L545+L546</f>
        <v>308096</v>
      </c>
      <c r="M544" s="154">
        <f t="shared" ca="1" si="235"/>
        <v>308096</v>
      </c>
      <c r="N544" s="154">
        <f t="shared" si="235"/>
        <v>267797</v>
      </c>
      <c r="O544" s="154">
        <f t="shared" ref="O544:O549" ca="1" si="236">IF(L544&gt;0,N544*100/L544,0)</f>
        <v>86.91998597839634</v>
      </c>
      <c r="P544" s="154">
        <f t="shared" ref="P544:P549" ca="1" si="237">IF(M544&gt;0,N544*100/M544,0)</f>
        <v>86.91998597839634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8">L548+L556</f>
        <v>0</v>
      </c>
      <c r="M545" s="45">
        <f t="shared" ref="M545:N546" si="239">M548+M555</f>
        <v>0</v>
      </c>
      <c r="N545" s="45">
        <f t="shared" si="239"/>
        <v>0</v>
      </c>
      <c r="O545" s="45">
        <f t="shared" si="236"/>
        <v>0</v>
      </c>
      <c r="P545" s="45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8"/>
        <v>308096</v>
      </c>
      <c r="M546" s="45">
        <f t="shared" ca="1" si="239"/>
        <v>308096</v>
      </c>
      <c r="N546" s="45">
        <f t="shared" si="239"/>
        <v>267797</v>
      </c>
      <c r="O546" s="45">
        <f t="shared" ca="1" si="236"/>
        <v>86.91998597839634</v>
      </c>
      <c r="P546" s="45">
        <f t="shared" ca="1" si="237"/>
        <v>86.91998597839634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0">L548+L549</f>
        <v>308096</v>
      </c>
      <c r="M547" s="38">
        <f t="shared" ca="1" si="240"/>
        <v>308096</v>
      </c>
      <c r="N547" s="38">
        <f t="shared" si="240"/>
        <v>267797</v>
      </c>
      <c r="O547" s="38">
        <f t="shared" ca="1" si="236"/>
        <v>86.91998597839634</v>
      </c>
      <c r="P547" s="38">
        <f t="shared" ca="1" si="237"/>
        <v>86.91998597839634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6"/>
        <v>0</v>
      </c>
      <c r="P548" s="45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IFERROR(__xludf.DUMMYFUNCTION("IMPORTRANGE(""https://docs.google.com/spreadsheets/d/1QqKyyYR6Q21VydFLVH3TRQUabQu_ym0Zz7PgGX0-kHA/edit?usp=sharing"",""แผน!HB79"")"),308096)</f>
        <v>308096</v>
      </c>
      <c r="M549" s="45">
        <f ca="1">L549</f>
        <v>308096</v>
      </c>
      <c r="N549" s="45">
        <f>N550+N551+N552+N553+N554</f>
        <v>267797</v>
      </c>
      <c r="O549" s="45">
        <f t="shared" ca="1" si="236"/>
        <v>86.91998597839634</v>
      </c>
      <c r="P549" s="45">
        <f t="shared" ca="1" si="237"/>
        <v>86.91998597839634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f>[1]ผลการเบิกจ่ายเงินกองทุน!F22</f>
        <v>102701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f>[1]ผลการเบิกจ่ายเงินกองทุน!F21+[1]ผลการเบิกจ่ายเงินกองทุน!F23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+[1]ผลการเบิกจ่ายเงินกองทุน!F31+[1]ผลการเบิกจ่ายเงินกองทุน!F32</f>
        <v>165096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1">L556+L557</f>
        <v>0</v>
      </c>
      <c r="M555" s="38">
        <f t="shared" si="241"/>
        <v>0</v>
      </c>
      <c r="N555" s="38">
        <f t="shared" si="241"/>
        <v>0</v>
      </c>
      <c r="O555" s="38">
        <f t="shared" ref="O555:O557" ca="1" si="242">IF(L555&gt;0,N555*100/L555,0)</f>
        <v>0</v>
      </c>
      <c r="P555" s="38">
        <f t="shared" ref="P555:P557" si="243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2"/>
        <v>0</v>
      </c>
      <c r="P556" s="45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IFERROR(__xludf.DUMMYFUNCTION("IMPORTRANGE(""https://docs.google.com/spreadsheets/d/1QqKyyYR6Q21VydFLVH3TRQUabQu_ym0Zz7PgGX0-kHA/edit?usp=sharing"",""แผน!HF79"")"),0)</f>
        <v>0</v>
      </c>
      <c r="M557" s="45">
        <v>0</v>
      </c>
      <c r="N557" s="45">
        <v>0</v>
      </c>
      <c r="O557" s="45">
        <f t="shared" ca="1" si="242"/>
        <v>0</v>
      </c>
      <c r="P557" s="45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4">I576</f>
        <v>5970</v>
      </c>
      <c r="J559" s="630">
        <f t="shared" si="244"/>
        <v>5970</v>
      </c>
      <c r="K559" s="631">
        <f t="shared" ref="K559:K561" ca="1" si="245">IF(I559&gt;0,J559*100/I559,0)</f>
        <v>100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IFERROR(__xludf.DUMMYFUNCTION("IMPORTRANGE(""https://docs.google.com/spreadsheets/d/1QqKyyYR6Q21VydFLVH3TRQUabQu_ym0Zz7PgGX0-kHA/edit?usp=sharing"",""แผน!HH79"")"),5970)</f>
        <v>5970</v>
      </c>
      <c r="J560" s="189">
        <f t="shared" ref="J560:J561" si="246">J562+J564+J566</f>
        <v>5970</v>
      </c>
      <c r="K560" s="391">
        <f t="shared" ca="1" si="245"/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IFERROR(__xludf.DUMMYFUNCTION("IMPORTRANGE(""https://docs.google.com/spreadsheets/d/1QqKyyYR6Q21VydFLVH3TRQUabQu_ym0Zz7PgGX0-kHA/edit?usp=sharing"",""แผน!HG79"")"),965)</f>
        <v>965</v>
      </c>
      <c r="J561" s="189">
        <f t="shared" si="246"/>
        <v>965</v>
      </c>
      <c r="K561" s="391">
        <f t="shared" ca="1" si="245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5498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888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0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0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472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77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IFERROR(__xludf.DUMMYFUNCTION("IMPORTRANGE(""https://docs.google.com/spreadsheets/d/1QqKyyYR6Q21VydFLVH3TRQUabQu_ym0Zz7PgGX0-kHA/edit?usp=sharing"",""แผน!HH79"")"),5970)</f>
        <v>5970</v>
      </c>
      <c r="J568" s="190">
        <f t="shared" ref="J568:J569" si="247">J570+J572+J574</f>
        <v>5970</v>
      </c>
      <c r="K568" s="391">
        <f t="shared" ref="K568:K569" ca="1" si="248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IFERROR(__xludf.DUMMYFUNCTION("IMPORTRANGE(""https://docs.google.com/spreadsheets/d/1QqKyyYR6Q21VydFLVH3TRQUabQu_ym0Zz7PgGX0-kHA/edit?usp=sharing"",""แผน!HG79"")"),965)</f>
        <v>965</v>
      </c>
      <c r="J569" s="190">
        <f t="shared" si="247"/>
        <v>965</v>
      </c>
      <c r="K569" s="391">
        <f t="shared" ca="1" si="248"/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5498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888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472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77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IFERROR(__xludf.DUMMYFUNCTION("IMPORTRANGE(""https://docs.google.com/spreadsheets/d/1QqKyyYR6Q21VydFLVH3TRQUabQu_ym0Zz7PgGX0-kHA/edit?usp=sharing"",""แผน!HH79"")"),5970)</f>
        <v>5970</v>
      </c>
      <c r="J576" s="190">
        <f t="shared" ref="J576:J577" si="249">J578+J580+J582+J588+J590</f>
        <v>5970</v>
      </c>
      <c r="K576" s="391">
        <f t="shared" ref="K576:K577" ca="1" si="250">IF(I576&gt;0,J576*100/I576,0)</f>
        <v>100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IFERROR(__xludf.DUMMYFUNCTION("IMPORTRANGE(""https://docs.google.com/spreadsheets/d/1QqKyyYR6Q21VydFLVH3TRQUabQu_ym0Zz7PgGX0-kHA/edit?usp=sharing"",""แผน!HG79"")"),965)</f>
        <v>965</v>
      </c>
      <c r="J577" s="190">
        <f t="shared" si="249"/>
        <v>965</v>
      </c>
      <c r="K577" s="391">
        <f t="shared" ca="1" si="250"/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5498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888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1">J584+J586</f>
        <v>472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1"/>
        <v>77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472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77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2">I593</f>
        <v>1078.8</v>
      </c>
      <c r="J592" s="630">
        <f t="shared" si="252"/>
        <v>1079</v>
      </c>
      <c r="K592" s="631">
        <f t="shared" ref="K592:K594" ca="1" si="253">IF(I592&gt;0,J592*100/I592,0)</f>
        <v>100.01853911753801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IFERROR(__xludf.DUMMYFUNCTION("IMPORTRANGE(""https://docs.google.com/spreadsheets/d/1QqKyyYR6Q21VydFLVH3TRQUabQu_ym0Zz7PgGX0-kHA/edit?usp=sharing"",""แผน!HJ79"")"),1078.8)</f>
        <v>1078.8</v>
      </c>
      <c r="J593" s="189">
        <f t="shared" ref="J593:J594" si="254">J595+J603+J609</f>
        <v>1079</v>
      </c>
      <c r="K593" s="391">
        <f t="shared" ca="1" si="253"/>
        <v>100.01853911753801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IFERROR(__xludf.DUMMYFUNCTION("IMPORTRANGE(""https://docs.google.com/spreadsheets/d/1QqKyyYR6Q21VydFLVH3TRQUabQu_ym0Zz7PgGX0-kHA/edit?usp=sharing"",""แผน!HI79"")"),225)</f>
        <v>225</v>
      </c>
      <c r="J594" s="189">
        <f t="shared" si="254"/>
        <v>225</v>
      </c>
      <c r="K594" s="391">
        <f t="shared" ca="1" si="253"/>
        <v>100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5">J597+J599</f>
        <v>0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5"/>
        <v>0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/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/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6">J605+J607</f>
        <v>961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6"/>
        <v>208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961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208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118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17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 hidden="1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7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8">J614+J616</f>
        <v>0</v>
      </c>
      <c r="K612" s="666">
        <f t="shared" si="257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8"/>
        <v>0</v>
      </c>
      <c r="K613" s="666">
        <f t="shared" si="257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 hidden="1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IFERROR(__xludf.DUMMYFUNCTION("IMPORTRANGE(""https://docs.google.com/spreadsheets/d/1QqKyyYR6Q21VydFLVH3TRQUabQu_ym0Zz7PgGX0-kHA/edit?usp=sharing"",""แผน!HL79"")"),0)</f>
        <v>0</v>
      </c>
      <c r="J620" s="675">
        <f t="shared" ref="J620:J621" si="259">J622+J624+J626</f>
        <v>0</v>
      </c>
      <c r="K620" s="676">
        <f t="shared" ref="K620:K621" ca="1" si="260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 hidden="1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IFERROR(__xludf.DUMMYFUNCTION("IMPORTRANGE(""https://docs.google.com/spreadsheets/d/1QqKyyYR6Q21VydFLVH3TRQUabQu_ym0Zz7PgGX0-kHA/edit?usp=sharing"",""แผน!HK79"")"),0)</f>
        <v>0</v>
      </c>
      <c r="J621" s="675">
        <f t="shared" si="259"/>
        <v>0</v>
      </c>
      <c r="K621" s="676">
        <f t="shared" ca="1" si="260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 hidden="1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 hidden="1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 hidden="1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 hidden="1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 hidden="1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 hidden="1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1">I651</f>
        <v>7</v>
      </c>
      <c r="J628" s="686">
        <f t="shared" ca="1" si="261"/>
        <v>22</v>
      </c>
      <c r="K628" s="687">
        <f ca="1">IF(I628&gt;0,J628*100/I628,0)</f>
        <v>314.28571428571428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2">L630+L631</f>
        <v>167365</v>
      </c>
      <c r="M629" s="191">
        <f t="shared" ca="1" si="262"/>
        <v>167365</v>
      </c>
      <c r="N629" s="191">
        <f t="shared" si="262"/>
        <v>95680</v>
      </c>
      <c r="O629" s="191">
        <f t="shared" ref="O629:O634" ca="1" si="263">IF(L629&gt;0,N629*100/L629,0)</f>
        <v>57.168464135273204</v>
      </c>
      <c r="P629" s="191">
        <f t="shared" ref="P629:P634" ca="1" si="264">IF(M629&gt;0,N629*100/M629,0)</f>
        <v>57.168464135273204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5">L633+L640</f>
        <v>0</v>
      </c>
      <c r="M630" s="45">
        <f t="shared" si="265"/>
        <v>0</v>
      </c>
      <c r="N630" s="45">
        <f t="shared" si="265"/>
        <v>0</v>
      </c>
      <c r="O630" s="45">
        <f t="shared" si="263"/>
        <v>0</v>
      </c>
      <c r="P630" s="45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5"/>
        <v>167365</v>
      </c>
      <c r="M631" s="45">
        <f t="shared" ca="1" si="265"/>
        <v>167365</v>
      </c>
      <c r="N631" s="45">
        <f t="shared" si="265"/>
        <v>95680</v>
      </c>
      <c r="O631" s="45">
        <f t="shared" ca="1" si="263"/>
        <v>57.168464135273204</v>
      </c>
      <c r="P631" s="45">
        <f t="shared" ca="1" si="264"/>
        <v>57.168464135273204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6">L633+L634</f>
        <v>167365</v>
      </c>
      <c r="M632" s="38">
        <f t="shared" ca="1" si="266"/>
        <v>167365</v>
      </c>
      <c r="N632" s="38">
        <f t="shared" si="266"/>
        <v>95680</v>
      </c>
      <c r="O632" s="38">
        <f t="shared" ca="1" si="263"/>
        <v>57.168464135273204</v>
      </c>
      <c r="P632" s="38">
        <f t="shared" ca="1" si="264"/>
        <v>57.168464135273204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3"/>
        <v>0</v>
      </c>
      <c r="P633" s="45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IFERROR(__xludf.DUMMYFUNCTION("IMPORTRANGE(""https://docs.google.com/spreadsheets/d/1QqKyyYR6Q21VydFLVH3TRQUabQu_ym0Zz7PgGX0-kHA/edit?usp=sharing"",""แผน!HN79"")"),167365)</f>
        <v>167365</v>
      </c>
      <c r="M634" s="45">
        <f ca="1">L634</f>
        <v>167365</v>
      </c>
      <c r="N634" s="45">
        <f>N635+N636+N637+N638</f>
        <v>95680</v>
      </c>
      <c r="O634" s="45">
        <f t="shared" ca="1" si="263"/>
        <v>57.168464135273204</v>
      </c>
      <c r="P634" s="45">
        <f t="shared" ca="1" si="264"/>
        <v>57.168464135273204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f>[1]ผลการเบิกจ่ายเงินกองทุน!F37</f>
        <v>95680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7">L640+L641</f>
        <v>0</v>
      </c>
      <c r="M639" s="38">
        <f t="shared" si="267"/>
        <v>0</v>
      </c>
      <c r="N639" s="38">
        <f t="shared" si="267"/>
        <v>0</v>
      </c>
      <c r="O639" s="38">
        <f t="shared" ref="O639:O641" ca="1" si="268">IF(L639&gt;0,N639*100/L639,0)</f>
        <v>0</v>
      </c>
      <c r="P639" s="38">
        <f t="shared" ref="P639:P641" si="269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8"/>
        <v>0</v>
      </c>
      <c r="P640" s="45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IFERROR(__xludf.DUMMYFUNCTION("IMPORTRANGE(""https://docs.google.com/spreadsheets/d/1QqKyyYR6Q21VydFLVH3TRQUabQu_ym0Zz7PgGX0-kHA/edit?usp=sharing"",""แผน!HQ79"")"),0)</f>
        <v>0</v>
      </c>
      <c r="M641" s="45">
        <v>0</v>
      </c>
      <c r="N641" s="45">
        <v>0</v>
      </c>
      <c r="O641" s="45">
        <f t="shared" ca="1" si="268"/>
        <v>0</v>
      </c>
      <c r="P641" s="45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IFERROR(__xludf.DUMMYFUNCTION("IMPORTRANGE(""https://docs.google.com/spreadsheets/d/1QqKyyYR6Q21VydFLVH3TRQUabQu_ym0Zz7PgGX0-kHA/edit?usp=sharing"",""แผน!HR79"")"),0)</f>
        <v>0</v>
      </c>
      <c r="J643" s="181">
        <v>0</v>
      </c>
      <c r="K643" s="162">
        <f t="shared" ref="K643:K652" ca="1" si="270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IFERROR(__xludf.DUMMYFUNCTION("IMPORTRANGE(""https://docs.google.com/spreadsheets/d/1QqKyyYR6Q21VydFLVH3TRQUabQu_ym0Zz7PgGX0-kHA/edit?usp=sharing"",""แผน!HR79"")"),0)</f>
        <v>0</v>
      </c>
      <c r="J644" s="181">
        <v>0</v>
      </c>
      <c r="K644" s="162">
        <f t="shared" ca="1" si="270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IFERROR(__xludf.DUMMYFUNCTION("IMPORTRANGE(""https://docs.google.com/spreadsheets/d/1XWAQStnk-4SwqDmLtmXYiTMKHgktTP8We1SCoS47DrQ/edit?usp=sharing"",""จัดที่ดิน!AS79"")"),23)</f>
        <v>23</v>
      </c>
      <c r="K645" s="162">
        <f t="shared" si="270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IFERROR(__xludf.DUMMYFUNCTION("IMPORTRANGE(""https://docs.google.com/spreadsheets/d/1XWAQStnk-4SwqDmLtmXYiTMKHgktTP8We1SCoS47DrQ/edit?usp=sharing"",""จัดที่ดิน!AT79"")"),5.61)</f>
        <v>5.61</v>
      </c>
      <c r="K646" s="38">
        <f t="shared" si="270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IFERROR(__xludf.DUMMYFUNCTION("IMPORTRANGE(""https://docs.google.com/spreadsheets/d/1QqKyyYR6Q21VydFLVH3TRQUabQu_ym0Zz7PgGX0-kHA/edit?usp=sharing"",""แผน!HS79"")"),7)</f>
        <v>7</v>
      </c>
      <c r="J647" s="37">
        <f ca="1">IFERROR(__xludf.DUMMYFUNCTION("IMPORTRANGE(""https://docs.google.com/spreadsheets/d/1XWAQStnk-4SwqDmLtmXYiTMKHgktTP8We1SCoS47DrQ/edit?usp=sharing"",""จัดที่ดิน!AU79"")"),22)</f>
        <v>22</v>
      </c>
      <c r="K647" s="162">
        <f t="shared" ca="1" si="270"/>
        <v>314.28571428571428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IFERROR(__xludf.DUMMYFUNCTION("IMPORTRANGE(""https://docs.google.com/spreadsheets/d/1XWAQStnk-4SwqDmLtmXYiTMKHgktTP8We1SCoS47DrQ/edit?usp=sharing"",""จัดที่ดิน!AV79"")"),5.38)</f>
        <v>5.38</v>
      </c>
      <c r="K648" s="38">
        <f t="shared" si="270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IFERROR(__xludf.DUMMYFUNCTION("IMPORTRANGE(""https://docs.google.com/spreadsheets/d/1QqKyyYR6Q21VydFLVH3TRQUabQu_ym0Zz7PgGX0-kHA/edit?usp=sharing"",""แผน!HS79"")"),7)</f>
        <v>7</v>
      </c>
      <c r="J649" s="37">
        <f ca="1">IFERROR(__xludf.DUMMYFUNCTION("IMPORTRANGE(""https://docs.google.com/spreadsheets/d/1XWAQStnk-4SwqDmLtmXYiTMKHgktTP8We1SCoS47DrQ/edit?usp=sharing"",""จัดที่ดิน!AW79"")"),22)</f>
        <v>22</v>
      </c>
      <c r="K649" s="162">
        <f t="shared" ca="1" si="270"/>
        <v>314.28571428571428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IFERROR(__xludf.DUMMYFUNCTION("IMPORTRANGE(""https://docs.google.com/spreadsheets/d/1XWAQStnk-4SwqDmLtmXYiTMKHgktTP8We1SCoS47DrQ/edit?usp=sharing"",""จัดที่ดิน!AX79"")"),5.38)</f>
        <v>5.38</v>
      </c>
      <c r="K650" s="38">
        <f t="shared" si="270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IFERROR(__xludf.DUMMYFUNCTION("IMPORTRANGE(""https://docs.google.com/spreadsheets/d/1QqKyyYR6Q21VydFLVH3TRQUabQu_ym0Zz7PgGX0-kHA/edit?usp=sharing"",""แผน!HS79"")"),7)</f>
        <v>7</v>
      </c>
      <c r="J651" s="37">
        <f ca="1">IFERROR(__xludf.DUMMYFUNCTION("IMPORTRANGE(""https://docs.google.com/spreadsheets/d/1XWAQStnk-4SwqDmLtmXYiTMKHgktTP8We1SCoS47DrQ/edit?usp=sharing"",""จัดที่ดิน!AY79"")"),22)</f>
        <v>22</v>
      </c>
      <c r="K651" s="162">
        <f t="shared" ca="1" si="270"/>
        <v>314.28571428571428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IFERROR(__xludf.DUMMYFUNCTION("IMPORTRANGE(""https://docs.google.com/spreadsheets/d/1XWAQStnk-4SwqDmLtmXYiTMKHgktTP8We1SCoS47DrQ/edit?usp=sharing"",""จัดที่ดิน!AZ79"")"),5)</f>
        <v>5</v>
      </c>
      <c r="K652" s="475">
        <f t="shared" si="270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1">I669</f>
        <v>50</v>
      </c>
      <c r="J654" s="630">
        <f t="shared" si="271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2">L656+L657</f>
        <v>11000</v>
      </c>
      <c r="M655" s="191">
        <f t="shared" ca="1" si="272"/>
        <v>11000</v>
      </c>
      <c r="N655" s="191">
        <f t="shared" si="272"/>
        <v>11000</v>
      </c>
      <c r="O655" s="191">
        <f t="shared" ref="O655:O660" ca="1" si="273">IF(L655&gt;0,N655*100/L655,0)</f>
        <v>100</v>
      </c>
      <c r="P655" s="191">
        <f t="shared" ref="P655:P660" ca="1" si="274">IF(M655&gt;0,N655*100/M655,0)</f>
        <v>100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5">L659+L666</f>
        <v>0</v>
      </c>
      <c r="M656" s="45">
        <f t="shared" si="275"/>
        <v>0</v>
      </c>
      <c r="N656" s="45">
        <f t="shared" si="275"/>
        <v>0</v>
      </c>
      <c r="O656" s="45">
        <f t="shared" si="273"/>
        <v>0</v>
      </c>
      <c r="P656" s="45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5"/>
        <v>11000</v>
      </c>
      <c r="M657" s="45">
        <f t="shared" ca="1" si="275"/>
        <v>11000</v>
      </c>
      <c r="N657" s="45">
        <f t="shared" si="275"/>
        <v>11000</v>
      </c>
      <c r="O657" s="45">
        <f t="shared" ca="1" si="273"/>
        <v>100</v>
      </c>
      <c r="P657" s="45">
        <f t="shared" ca="1" si="274"/>
        <v>100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6">L659+L660</f>
        <v>11000</v>
      </c>
      <c r="M658" s="38">
        <f t="shared" ca="1" si="276"/>
        <v>11000</v>
      </c>
      <c r="N658" s="38">
        <f t="shared" si="276"/>
        <v>11000</v>
      </c>
      <c r="O658" s="38">
        <f t="shared" ca="1" si="273"/>
        <v>100</v>
      </c>
      <c r="P658" s="38">
        <f t="shared" ca="1" si="274"/>
        <v>100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3"/>
        <v>0</v>
      </c>
      <c r="P659" s="45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IFERROR(__xludf.DUMMYFUNCTION("IMPORTRANGE(""https://docs.google.com/spreadsheets/d/1QqKyyYR6Q21VydFLVH3TRQUabQu_ym0Zz7PgGX0-kHA/edit?usp=sharing"",""แผน!HV79"")"),11000)</f>
        <v>11000</v>
      </c>
      <c r="M660" s="45">
        <f ca="1">L660</f>
        <v>11000</v>
      </c>
      <c r="N660" s="45">
        <f>N661+N662+N663+N664</f>
        <v>11000</v>
      </c>
      <c r="O660" s="45">
        <f t="shared" ca="1" si="273"/>
        <v>100</v>
      </c>
      <c r="P660" s="45">
        <f t="shared" ca="1" si="274"/>
        <v>100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f>[1]ผลการเบิกจ่ายเงินกองทุน!F12</f>
        <v>11000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7">L666+L667</f>
        <v>0</v>
      </c>
      <c r="M665" s="38">
        <f t="shared" si="277"/>
        <v>0</v>
      </c>
      <c r="N665" s="38">
        <f t="shared" si="277"/>
        <v>0</v>
      </c>
      <c r="O665" s="38">
        <f t="shared" ref="O665:O667" si="278">IF(L665&gt;0,N665*100/L665,0)</f>
        <v>0</v>
      </c>
      <c r="P665" s="38">
        <f t="shared" ref="P665:P667" si="279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8"/>
        <v>0</v>
      </c>
      <c r="P666" s="45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8"/>
        <v>0</v>
      </c>
      <c r="P667" s="45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IFERROR(__xludf.DUMMYFUNCTION("IMPORTRANGE(""https://docs.google.com/spreadsheets/d/1QqKyyYR6Q21VydFLVH3TRQUabQu_ym0Zz7PgGX0-kHA/edit?usp=sharing"",""แผน!IA79"")"),50)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IFERROR(__xludf.DUMMYFUNCTION("IMPORTRANGE(""https://docs.google.com/spreadsheets/d/1QqKyyYR6Q21VydFLVH3TRQUabQu_ym0Zz7PgGX0-kHA/edit?usp=sharing"",""แผน!HZ79"")"),5)</f>
        <v>5</v>
      </c>
      <c r="J670" s="181">
        <v>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IFERROR(__xludf.DUMMYFUNCTION("IMPORTRANGE(""https://docs.google.com/spreadsheets/d/1QqKyyYR6Q21VydFLVH3TRQUabQu_ym0Zz7PgGX0-kHA/edit?usp=sharing"",""แผน!HZ79"")"),5)</f>
        <v>5</v>
      </c>
      <c r="J671" s="181">
        <v>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57</v>
      </c>
      <c r="K672" s="38">
        <f t="shared" ref="K672:K675" ca="1" si="280">IF(I$669&gt;0,J672*100/I$669,0)</f>
        <v>114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57</v>
      </c>
      <c r="K673" s="38">
        <f t="shared" ca="1" si="280"/>
        <v>114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0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0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IFERROR(__xludf.DUMMYFUNCTION("IMPORTRANGE(""https://docs.google.com/spreadsheets/d/1QqKyyYR6Q21VydFLVH3TRQUabQu_ym0Zz7PgGX0-kHA/edit?usp=sharing"",""แผน!IB79"")"),0)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1">L686+L687</f>
        <v>37480</v>
      </c>
      <c r="M685" s="191">
        <f t="shared" ca="1" si="281"/>
        <v>37480</v>
      </c>
      <c r="N685" s="191">
        <f t="shared" si="281"/>
        <v>10400</v>
      </c>
      <c r="O685" s="191">
        <f t="shared" ref="O685:O688" ca="1" si="282">IF(L685&gt;0,N685*100/L685,0)</f>
        <v>27.748132337246531</v>
      </c>
      <c r="P685" s="191">
        <f t="shared" ref="P685:P688" ca="1" si="283">IF(M685&gt;0,N685*100/M685,0)</f>
        <v>27.748132337246531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4">L689+L696</f>
        <v>0</v>
      </c>
      <c r="M686" s="45">
        <f t="shared" si="284"/>
        <v>0</v>
      </c>
      <c r="N686" s="45">
        <f t="shared" si="284"/>
        <v>0</v>
      </c>
      <c r="O686" s="45">
        <f t="shared" si="282"/>
        <v>0</v>
      </c>
      <c r="P686" s="45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4"/>
        <v>37480</v>
      </c>
      <c r="M687" s="45">
        <f t="shared" ca="1" si="284"/>
        <v>37480</v>
      </c>
      <c r="N687" s="45">
        <f t="shared" si="284"/>
        <v>10400</v>
      </c>
      <c r="O687" s="45">
        <f t="shared" ca="1" si="282"/>
        <v>27.748132337246531</v>
      </c>
      <c r="P687" s="45">
        <f t="shared" ca="1" si="283"/>
        <v>27.748132337246531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5">L689+L690</f>
        <v>37480</v>
      </c>
      <c r="M688" s="38">
        <f t="shared" ca="1" si="285"/>
        <v>37480</v>
      </c>
      <c r="N688" s="38">
        <f t="shared" si="285"/>
        <v>10400</v>
      </c>
      <c r="O688" s="38">
        <f t="shared" ca="1" si="282"/>
        <v>27.748132337246531</v>
      </c>
      <c r="P688" s="38">
        <f t="shared" ca="1" si="283"/>
        <v>27.748132337246531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IFERROR(__xludf.DUMMYFUNCTION("IMPORTRANGE(""https://docs.google.com/spreadsheets/d/1QqKyyYR6Q21VydFLVH3TRQUabQu_ym0Zz7PgGX0-kHA/edit?usp=sharing"",""แผน!HW79"")"),37480)</f>
        <v>37480</v>
      </c>
      <c r="M690" s="45">
        <f ca="1">L690</f>
        <v>37480</v>
      </c>
      <c r="N690" s="45">
        <f>N691+N692+N693+N694</f>
        <v>10400</v>
      </c>
      <c r="O690" s="45">
        <f ca="1">IF(L690&gt;0,N690*100/L690,0)</f>
        <v>27.748132337246531</v>
      </c>
      <c r="P690" s="45">
        <f ca="1">IF(M690&gt;0,N690*100/M690,0)</f>
        <v>27.748132337246531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f>[1]ผลการเบิกจ่ายเงินกองทุน!F7</f>
        <v>10400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6">L696+L697</f>
        <v>0</v>
      </c>
      <c r="M695" s="38">
        <f t="shared" si="286"/>
        <v>0</v>
      </c>
      <c r="N695" s="38">
        <f t="shared" si="286"/>
        <v>0</v>
      </c>
      <c r="O695" s="38">
        <f t="shared" ref="O695:O697" si="287">IF(L695&gt;0,N695*100/L695,0)</f>
        <v>0</v>
      </c>
      <c r="P695" s="38">
        <f t="shared" ref="P695:P697" si="288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7"/>
        <v>0</v>
      </c>
      <c r="P696" s="45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7"/>
        <v>0</v>
      </c>
      <c r="P697" s="45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IFERROR(__xludf.DUMMYFUNCTION("IMPORTRANGE(""https://docs.google.com/spreadsheets/d/1QqKyyYR6Q21VydFLVH3TRQUabQu_ym0Zz7PgGX0-kHA/edit?usp=sharing"",""แผน!IC79"")"),248)</f>
        <v>248</v>
      </c>
      <c r="J699" s="37">
        <f ca="1">IFERROR(__xludf.DUMMYFUNCTION("IMPORTRANGE(""https://docs.google.com/spreadsheets/d/1XWAQStnk-4SwqDmLtmXYiTMKHgktTP8We1SCoS47DrQ/edit?usp=sharing"",""จัดที่ดิน!BB79"")"),84.81)</f>
        <v>84.81</v>
      </c>
      <c r="K699" s="38">
        <f t="shared" ref="K699:K701" ca="1" si="289">IF(I699&gt;0,J699*100/I699,0)</f>
        <v>34.197580645161288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IFERROR(__xludf.DUMMYFUNCTION("IMPORTRANGE(""https://docs.google.com/spreadsheets/d/1QqKyyYR6Q21VydFLVH3TRQUabQu_ym0Zz7PgGX0-kHA/edit?usp=sharing"",""แผน!ID79"")"),56)</f>
        <v>56</v>
      </c>
      <c r="J700" s="37">
        <f ca="1">IFERROR(__xludf.DUMMYFUNCTION("IMPORTRANGE(""https://docs.google.com/spreadsheets/d/1XWAQStnk-4SwqDmLtmXYiTMKHgktTP8We1SCoS47DrQ/edit?usp=sharing"",""จัดที่ดิน!BD79"")"),0)</f>
        <v>0</v>
      </c>
      <c r="K700" s="38">
        <f t="shared" ca="1" si="289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IFERROR(__xludf.DUMMYFUNCTION("IMPORTRANGE(""https://docs.google.com/spreadsheets/d/1QqKyyYR6Q21VydFLVH3TRQUabQu_ym0Zz7PgGX0-kHA/edit?usp=sharing"",""แผน!IE79"")"),0)</f>
        <v>0</v>
      </c>
      <c r="J701" s="190">
        <f>J704+J707</f>
        <v>0</v>
      </c>
      <c r="K701" s="191">
        <f t="shared" ca="1" si="289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IFERROR(__xludf.DUMMYFUNCTION("IMPORTRANGE(""https://docs.google.com/spreadsheets/d/1QqKyyYR6Q21VydFLVH3TRQUabQu_ym0Zz7PgGX0-kHA/edit?usp=sharing"",""แผน!IF79"")"),0)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IFERROR(__xludf.DUMMYFUNCTION("IMPORTRANGE(""https://docs.google.com/spreadsheets/d/1QqKyyYR6Q21VydFLVH3TRQUabQu_ym0Zz7PgGX0-kHA/edit?usp=sharing"",""แผน!IG79"")"),0)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IFERROR(__xludf.DUMMYFUNCTION("IMPORTRANGE(""https://docs.google.com/spreadsheets/d/1QqKyyYR6Q21VydFLVH3TRQUabQu_ym0Zz7PgGX0-kHA/edit?usp=sharing"",""แผน!IH79"")"),0)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IFERROR(__xludf.DUMMYFUNCTION("IMPORTRANGE(""https://docs.google.com/spreadsheets/d/1XWAQStnk-4SwqDmLtmXYiTMKHgktTP8We1SCoS47DrQ/edit?usp=sharing"",""จัดที่ดิน!BF79"")"),0)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IFERROR(__xludf.DUMMYFUNCTION("IMPORTRANGE(""https://docs.google.com/spreadsheets/d/1XWAQStnk-4SwqDmLtmXYiTMKHgktTP8We1SCoS47DrQ/edit?usp=sharing"",""จัดที่ดิน!BG79"")"),0)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IFERROR(__xludf.DUMMYFUNCTION("IMPORTRANGE(""https://docs.google.com/spreadsheets/d/1QqKyyYR6Q21VydFLVH3TRQUabQu_ym0Zz7PgGX0-kHA/edit?usp=sharing"",""แผน!II79"")"),0)</f>
        <v>0</v>
      </c>
      <c r="J720" s="37">
        <f ca="1">IFERROR(__xludf.DUMMYFUNCTION("IMPORTRANGE(""https://docs.google.com/spreadsheets/d/1XWAQStnk-4SwqDmLtmXYiTMKHgktTP8We1SCoS47DrQ/edit?usp=sharing"",""จัดที่ดิน!BH79"")"),0)</f>
        <v>0</v>
      </c>
      <c r="K720" s="38">
        <f t="shared" ref="K720:K723" ca="1" si="290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IFERROR(__xludf.DUMMYFUNCTION("IMPORTRANGE(""https://docs.google.com/spreadsheets/d/1QqKyyYR6Q21VydFLVH3TRQUabQu_ym0Zz7PgGX0-kHA/edit?usp=sharing"",""แผน!IJ79"")"),0)</f>
        <v>0</v>
      </c>
      <c r="J721" s="190">
        <f ca="1">J723+J726</f>
        <v>0</v>
      </c>
      <c r="K721" s="191">
        <f t="shared" ca="1" si="290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IFERROR(__xludf.DUMMYFUNCTION("IMPORTRANGE(""https://docs.google.com/spreadsheets/d/1QqKyyYR6Q21VydFLVH3TRQUabQu_ym0Zz7PgGX0-kHA/edit?usp=sharing"",""แผน!IK79"")"),0)</f>
        <v>0</v>
      </c>
      <c r="J722" s="190">
        <f ca="1">J725+J728</f>
        <v>0</v>
      </c>
      <c r="K722" s="191">
        <f t="shared" ca="1" si="290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IFERROR(__xludf.DUMMYFUNCTION("IMPORTRANGE(""https://docs.google.com/spreadsheets/d/1QqKyyYR6Q21VydFLVH3TRQUabQu_ym0Zz7PgGX0-kHA/edit?usp=sharing"",""แผน!IL79"")"),0)</f>
        <v>0</v>
      </c>
      <c r="J723" s="37">
        <f ca="1">IFERROR(__xludf.DUMMYFUNCTION("IMPORTRANGE(""https://docs.google.com/spreadsheets/d/1XWAQStnk-4SwqDmLtmXYiTMKHgktTP8We1SCoS47DrQ/edit?usp=sharing"",""จัดที่ดิน!BM79"")"),0)</f>
        <v>0</v>
      </c>
      <c r="K723" s="38">
        <f t="shared" ca="1" si="290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IFERROR(__xludf.DUMMYFUNCTION("IMPORTRANGE(""https://docs.google.com/spreadsheets/d/1XWAQStnk-4SwqDmLtmXYiTMKHgktTP8We1SCoS47DrQ/edit?usp=sharing"",""จัดที่ดิน!BN79"")"),0)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IFERROR(__xludf.DUMMYFUNCTION("IMPORTRANGE(""https://docs.google.com/spreadsheets/d/1QqKyyYR6Q21VydFLVH3TRQUabQu_ym0Zz7PgGX0-kHA/edit?usp=sharing"",""แผน!IM79"")"),0)</f>
        <v>0</v>
      </c>
      <c r="J725" s="37">
        <f ca="1">IFERROR(__xludf.DUMMYFUNCTION("IMPORTRANGE(""https://docs.google.com/spreadsheets/d/1XWAQStnk-4SwqDmLtmXYiTMKHgktTP8We1SCoS47DrQ/edit?usp=sharing"",""จัดที่ดิน!BO79"")"),0)</f>
        <v>0</v>
      </c>
      <c r="K725" s="38">
        <f t="shared" ref="K725:K726" ca="1" si="291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IFERROR(__xludf.DUMMYFUNCTION("IMPORTRANGE(""https://docs.google.com/spreadsheets/d/1QqKyyYR6Q21VydFLVH3TRQUabQu_ym0Zz7PgGX0-kHA/edit?usp=sharing"",""แผน!IN79"")"),0)</f>
        <v>0</v>
      </c>
      <c r="J726" s="37">
        <f ca="1">IFERROR(__xludf.DUMMYFUNCTION("IMPORTRANGE(""https://docs.google.com/spreadsheets/d/1XWAQStnk-4SwqDmLtmXYiTMKHgktTP8We1SCoS47DrQ/edit?usp=sharing"",""จัดที่ดิน!BR79"")"),0)</f>
        <v>0</v>
      </c>
      <c r="K726" s="38">
        <f t="shared" ca="1" si="291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IFERROR(__xludf.DUMMYFUNCTION("IMPORTRANGE(""https://docs.google.com/spreadsheets/d/1XWAQStnk-4SwqDmLtmXYiTMKHgktTP8We1SCoS47DrQ/edit?usp=sharing"",""จัดที่ดิน!BS79"")"),0)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IFERROR(__xludf.DUMMYFUNCTION("IMPORTRANGE(""https://docs.google.com/spreadsheets/d/1QqKyyYR6Q21VydFLVH3TRQUabQu_ym0Zz7PgGX0-kHA/edit?usp=sharing"",""แผน!IO79"")"),0)</f>
        <v>0</v>
      </c>
      <c r="J728" s="37">
        <f ca="1">IFERROR(__xludf.DUMMYFUNCTION("IMPORTRANGE(""https://docs.google.com/spreadsheets/d/1XWAQStnk-4SwqDmLtmXYiTMKHgktTP8We1SCoS47DrQ/edit?usp=sharing"",""จัดที่ดิน!BT79"")"),0)</f>
        <v>0</v>
      </c>
      <c r="K728" s="38">
        <f t="shared" ref="K728:K729" ca="1" si="292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IFERROR(__xludf.DUMMYFUNCTION("IMPORTRANGE(""https://docs.google.com/spreadsheets/d/1QqKyyYR6Q21VydFLVH3TRQUabQu_ym0Zz7PgGX0-kHA/edit?usp=sharing"",""แผน!IP79"")"),0)</f>
        <v>0</v>
      </c>
      <c r="J729" s="190">
        <f>J732+J735</f>
        <v>0</v>
      </c>
      <c r="K729" s="191">
        <f t="shared" ca="1" si="292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3">L738+L739</f>
        <v>0</v>
      </c>
      <c r="M737" s="601">
        <f t="shared" si="293"/>
        <v>0</v>
      </c>
      <c r="N737" s="601">
        <f t="shared" si="293"/>
        <v>0</v>
      </c>
      <c r="O737" s="601">
        <f t="shared" ref="O737:O742" si="294">IF(L737&gt;0,N737*100/L737,0)</f>
        <v>0</v>
      </c>
      <c r="P737" s="601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6">L741+L748</f>
        <v>0</v>
      </c>
      <c r="M738" s="45">
        <f t="shared" si="296"/>
        <v>0</v>
      </c>
      <c r="N738" s="45">
        <f t="shared" si="296"/>
        <v>0</v>
      </c>
      <c r="O738" s="45">
        <f t="shared" si="294"/>
        <v>0</v>
      </c>
      <c r="P738" s="45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6"/>
        <v>0</v>
      </c>
      <c r="M739" s="45">
        <f t="shared" si="296"/>
        <v>0</v>
      </c>
      <c r="N739" s="45">
        <f t="shared" si="296"/>
        <v>0</v>
      </c>
      <c r="O739" s="45">
        <f t="shared" si="294"/>
        <v>0</v>
      </c>
      <c r="P739" s="45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7">L741+L742</f>
        <v>0</v>
      </c>
      <c r="M740" s="601">
        <f t="shared" si="297"/>
        <v>0</v>
      </c>
      <c r="N740" s="601">
        <f t="shared" si="297"/>
        <v>0</v>
      </c>
      <c r="O740" s="601">
        <f t="shared" si="294"/>
        <v>0</v>
      </c>
      <c r="P740" s="601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4"/>
        <v>0</v>
      </c>
      <c r="P741" s="45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4"/>
        <v>0</v>
      </c>
      <c r="P742" s="45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8">L748+L749</f>
        <v>0</v>
      </c>
      <c r="M747" s="601">
        <f t="shared" si="298"/>
        <v>0</v>
      </c>
      <c r="N747" s="601">
        <f t="shared" si="298"/>
        <v>0</v>
      </c>
      <c r="O747" s="601">
        <f t="shared" ref="O747:O749" si="299">IF(L747&gt;0,N747*100/L747,0)</f>
        <v>0</v>
      </c>
      <c r="P747" s="601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299"/>
        <v>0</v>
      </c>
      <c r="P748" s="45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299"/>
        <v>0</v>
      </c>
      <c r="P749" s="45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1">L755+L756</f>
        <v>0</v>
      </c>
      <c r="M754" s="601">
        <f t="shared" si="301"/>
        <v>0</v>
      </c>
      <c r="N754" s="601">
        <f t="shared" si="301"/>
        <v>0</v>
      </c>
      <c r="O754" s="601">
        <f t="shared" ref="O754:O759" si="302">IF(L754&gt;0,N754*100/L754,0)</f>
        <v>0</v>
      </c>
      <c r="P754" s="601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4">L758+L765</f>
        <v>0</v>
      </c>
      <c r="M755" s="45">
        <f t="shared" si="304"/>
        <v>0</v>
      </c>
      <c r="N755" s="45">
        <f t="shared" si="304"/>
        <v>0</v>
      </c>
      <c r="O755" s="45">
        <f t="shared" si="302"/>
        <v>0</v>
      </c>
      <c r="P755" s="45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4"/>
        <v>0</v>
      </c>
      <c r="M756" s="45">
        <f t="shared" si="304"/>
        <v>0</v>
      </c>
      <c r="N756" s="45">
        <f t="shared" si="304"/>
        <v>0</v>
      </c>
      <c r="O756" s="45">
        <f t="shared" si="302"/>
        <v>0</v>
      </c>
      <c r="P756" s="45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5">L758+L759</f>
        <v>0</v>
      </c>
      <c r="M757" s="601">
        <f t="shared" si="305"/>
        <v>0</v>
      </c>
      <c r="N757" s="601">
        <f t="shared" si="305"/>
        <v>0</v>
      </c>
      <c r="O757" s="601">
        <f t="shared" si="302"/>
        <v>0</v>
      </c>
      <c r="P757" s="601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2"/>
        <v>0</v>
      </c>
      <c r="P758" s="45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2"/>
        <v>0</v>
      </c>
      <c r="P759" s="45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6">L765+L766</f>
        <v>0</v>
      </c>
      <c r="M764" s="601">
        <f t="shared" si="306"/>
        <v>0</v>
      </c>
      <c r="N764" s="601">
        <f t="shared" si="306"/>
        <v>0</v>
      </c>
      <c r="O764" s="601">
        <f t="shared" ref="O764:O766" si="307">IF(L764&gt;0,N764*100/L764,0)</f>
        <v>0</v>
      </c>
      <c r="P764" s="601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7"/>
        <v>0</v>
      </c>
      <c r="P765" s="45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7"/>
        <v>0</v>
      </c>
      <c r="P766" s="45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09">L771+L772</f>
        <v>0</v>
      </c>
      <c r="M770" s="601">
        <f t="shared" si="309"/>
        <v>0</v>
      </c>
      <c r="N770" s="601">
        <f t="shared" si="309"/>
        <v>0</v>
      </c>
      <c r="O770" s="601">
        <f t="shared" ref="O770:O775" si="310">IF(L770&gt;0,N770*100/L770,0)</f>
        <v>0</v>
      </c>
      <c r="P770" s="601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2">L774+L781</f>
        <v>0</v>
      </c>
      <c r="M771" s="45">
        <f t="shared" si="312"/>
        <v>0</v>
      </c>
      <c r="N771" s="45">
        <f t="shared" si="312"/>
        <v>0</v>
      </c>
      <c r="O771" s="45">
        <f t="shared" si="310"/>
        <v>0</v>
      </c>
      <c r="P771" s="45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2"/>
        <v>0</v>
      </c>
      <c r="M772" s="45">
        <f t="shared" si="312"/>
        <v>0</v>
      </c>
      <c r="N772" s="45">
        <f t="shared" si="312"/>
        <v>0</v>
      </c>
      <c r="O772" s="45">
        <f t="shared" si="310"/>
        <v>0</v>
      </c>
      <c r="P772" s="45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3">L774+L775</f>
        <v>0</v>
      </c>
      <c r="M773" s="601">
        <f t="shared" si="313"/>
        <v>0</v>
      </c>
      <c r="N773" s="601">
        <f t="shared" si="313"/>
        <v>0</v>
      </c>
      <c r="O773" s="601">
        <f t="shared" si="310"/>
        <v>0</v>
      </c>
      <c r="P773" s="601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0"/>
        <v>0</v>
      </c>
      <c r="P774" s="45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0"/>
        <v>0</v>
      </c>
      <c r="P775" s="45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4">L781+L782</f>
        <v>0</v>
      </c>
      <c r="M780" s="601">
        <f t="shared" si="314"/>
        <v>0</v>
      </c>
      <c r="N780" s="601">
        <f t="shared" si="314"/>
        <v>0</v>
      </c>
      <c r="O780" s="601">
        <f t="shared" ref="O780:O782" si="315">IF(L780&gt;0,N780*100/L780,0)</f>
        <v>0</v>
      </c>
      <c r="P780" s="601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5"/>
        <v>0</v>
      </c>
      <c r="P781" s="45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5"/>
        <v>0</v>
      </c>
      <c r="P782" s="45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7">I800</f>
        <v>0</v>
      </c>
      <c r="J785" s="743">
        <f t="shared" ca="1" si="317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8">L787+L788</f>
        <v>0</v>
      </c>
      <c r="M786" s="191">
        <f t="shared" si="318"/>
        <v>0</v>
      </c>
      <c r="N786" s="191">
        <f t="shared" si="318"/>
        <v>0</v>
      </c>
      <c r="O786" s="191">
        <f t="shared" ref="O786:O791" ca="1" si="319">IF(L786&gt;0,N786*100/L786,0)</f>
        <v>0</v>
      </c>
      <c r="P786" s="191">
        <f t="shared" ref="P786:P791" si="320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1">L790+L797</f>
        <v>0</v>
      </c>
      <c r="M787" s="45">
        <f t="shared" si="321"/>
        <v>0</v>
      </c>
      <c r="N787" s="45">
        <f t="shared" si="321"/>
        <v>0</v>
      </c>
      <c r="O787" s="45">
        <f t="shared" si="319"/>
        <v>0</v>
      </c>
      <c r="P787" s="45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1"/>
        <v>0</v>
      </c>
      <c r="M788" s="45">
        <f t="shared" si="321"/>
        <v>0</v>
      </c>
      <c r="N788" s="45">
        <f t="shared" si="321"/>
        <v>0</v>
      </c>
      <c r="O788" s="45">
        <f t="shared" ca="1" si="319"/>
        <v>0</v>
      </c>
      <c r="P788" s="45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2">L790+L791</f>
        <v>0</v>
      </c>
      <c r="M789" s="38">
        <f t="shared" si="322"/>
        <v>0</v>
      </c>
      <c r="N789" s="38">
        <f t="shared" si="322"/>
        <v>0</v>
      </c>
      <c r="O789" s="38">
        <f t="shared" ca="1" si="319"/>
        <v>0</v>
      </c>
      <c r="P789" s="38">
        <f t="shared" si="320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19"/>
        <v>0</v>
      </c>
      <c r="P790" s="45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IFERROR(__xludf.DUMMYFUNCTION("IMPORTRANGE(""https://docs.google.com/spreadsheets/d/1QqKyyYR6Q21VydFLVH3TRQUabQu_ym0Zz7PgGX0-kHA/edit?usp=sharing"",""แผน!JJ79"")"),0)</f>
        <v>0</v>
      </c>
      <c r="M791" s="45">
        <v>0</v>
      </c>
      <c r="N791" s="45">
        <f>N792+N793+N794+N795</f>
        <v>0</v>
      </c>
      <c r="O791" s="45">
        <f t="shared" ca="1" si="319"/>
        <v>0</v>
      </c>
      <c r="P791" s="45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3">L797+L798</f>
        <v>0</v>
      </c>
      <c r="M796" s="38">
        <f t="shared" si="323"/>
        <v>0</v>
      </c>
      <c r="N796" s="38">
        <f t="shared" si="323"/>
        <v>0</v>
      </c>
      <c r="O796" s="38">
        <f t="shared" ref="O796:O798" si="324">IF(L796&gt;0,N796*100/L796,0)</f>
        <v>0</v>
      </c>
      <c r="P796" s="38">
        <f t="shared" ref="P796:P798" si="325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4"/>
        <v>0</v>
      </c>
      <c r="P797" s="45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4"/>
        <v>0</v>
      </c>
      <c r="P798" s="45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IFERROR(__xludf.DUMMYFUNCTION("IMPORTRANGE(""https://docs.google.com/spreadsheets/d/1QqKyyYR6Q21VydFLVH3TRQUabQu_ym0Zz7PgGX0-kHA/edit?usp=sharing"",""แผน!JN79"")"),0)</f>
        <v>0</v>
      </c>
      <c r="J800" s="161">
        <f ca="1">IFERROR(__xludf.DUMMYFUNCTION("IMPORTRANGE(""https://docs.google.com/spreadsheets/d/1MaWodYyGHDf7siQLGxnXhG4mBNTNIuy296niS2xXulU/edit?usp=sharing"",""RTK!H79"")"),0)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IFERROR(__xludf.DUMMYFUNCTION("IMPORTRANGE(""https://docs.google.com/spreadsheets/d/1MaWodYyGHDf7siQLGxnXhG4mBNTNIuy296niS2xXulU/edit?usp=sharing"",""RTK!I79"")"),0)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6">L806+L807</f>
        <v>0</v>
      </c>
      <c r="M805" s="601">
        <f t="shared" si="326"/>
        <v>0</v>
      </c>
      <c r="N805" s="601">
        <f t="shared" si="326"/>
        <v>0</v>
      </c>
      <c r="O805" s="601">
        <f t="shared" ref="O805:O810" si="327">IF(L805&gt;0,N805*100/L805,0)</f>
        <v>0</v>
      </c>
      <c r="P805" s="601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29">L809+L816</f>
        <v>0</v>
      </c>
      <c r="M806" s="45">
        <f t="shared" si="329"/>
        <v>0</v>
      </c>
      <c r="N806" s="45">
        <f t="shared" si="329"/>
        <v>0</v>
      </c>
      <c r="O806" s="45">
        <f t="shared" si="327"/>
        <v>0</v>
      </c>
      <c r="P806" s="45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29"/>
        <v>0</v>
      </c>
      <c r="M807" s="45">
        <f t="shared" si="329"/>
        <v>0</v>
      </c>
      <c r="N807" s="45">
        <f t="shared" si="329"/>
        <v>0</v>
      </c>
      <c r="O807" s="45">
        <f t="shared" si="327"/>
        <v>0</v>
      </c>
      <c r="P807" s="45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0">L809+L810</f>
        <v>0</v>
      </c>
      <c r="M808" s="601">
        <f t="shared" si="330"/>
        <v>0</v>
      </c>
      <c r="N808" s="601">
        <f t="shared" si="330"/>
        <v>0</v>
      </c>
      <c r="O808" s="601">
        <f t="shared" si="327"/>
        <v>0</v>
      </c>
      <c r="P808" s="601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7"/>
        <v>0</v>
      </c>
      <c r="P809" s="45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7"/>
        <v>0</v>
      </c>
      <c r="P810" s="45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1">L816+L817</f>
        <v>0</v>
      </c>
      <c r="M815" s="601">
        <f t="shared" si="331"/>
        <v>0</v>
      </c>
      <c r="N815" s="601">
        <f t="shared" si="331"/>
        <v>0</v>
      </c>
      <c r="O815" s="601">
        <f t="shared" ref="O815:O817" si="332">IF(L815&gt;0,N815*100/L815,0)</f>
        <v>0</v>
      </c>
      <c r="P815" s="601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2"/>
        <v>0</v>
      </c>
      <c r="P816" s="45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2"/>
        <v>0</v>
      </c>
      <c r="P817" s="45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341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37">
        <f ca="1">IFERROR(__xludf.DUMMYFUNCTION("IMPORTRANGE(""https://docs.google.com/spreadsheets/d/19vJNZY_5yjcGF2XGBMNZRCAIB0Kwfpjp8YEOfu-bneM/edit?usp=sharing"",""งานกองทุน!F79"")"),315346.52)</f>
        <v>315346.52</v>
      </c>
      <c r="K821" s="38">
        <f t="shared" ref="K821:K828" ca="1" si="334">IF(I821&gt;0,J821*100/I821,0)</f>
        <v>91.366777178178594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IFERROR(__xludf.DUMMYFUNCTION("IMPORTRANGE(""https://docs.google.com/spreadsheets/d/19vJNZY_5yjcGF2XGBMNZRCAIB0Kwfpjp8YEOfu-bneM/edit?usp=sharing"",""งานกองทุน!C79"")"),29)</f>
        <v>29</v>
      </c>
      <c r="J822" s="37">
        <f ca="1">IFERROR(__xludf.DUMMYFUNCTION("IMPORTRANGE(""https://docs.google.com/spreadsheets/d/19vJNZY_5yjcGF2XGBMNZRCAIB0Kwfpjp8YEOfu-bneM/edit?usp=sharing"",""งานกองทุน!E79"")"),27)</f>
        <v>27</v>
      </c>
      <c r="K822" s="38">
        <f t="shared" ca="1" si="334"/>
        <v>93.103448275862064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37">
        <f ca="1">IFERROR(__xludf.DUMMYFUNCTION("IMPORTRANGE(""https://docs.google.com/spreadsheets/d/19vJNZY_5yjcGF2XGBMNZRCAIB0Kwfpjp8YEOfu-bneM/edit?usp=sharing"",""งานกองทุน!K79"")"),27062.91)</f>
        <v>27062.91</v>
      </c>
      <c r="K823" s="38">
        <f t="shared" ca="1" si="334"/>
        <v>11.089439993096274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IFERROR(__xludf.DUMMYFUNCTION("IMPORTRANGE(""https://docs.google.com/spreadsheets/d/19vJNZY_5yjcGF2XGBMNZRCAIB0Kwfpjp8YEOfu-bneM/edit?usp=sharing"",""งานกองทุน!H79"")"),9)</f>
        <v>9</v>
      </c>
      <c r="J824" s="37">
        <f ca="1">IFERROR(__xludf.DUMMYFUNCTION("IMPORTRANGE(""https://docs.google.com/spreadsheets/d/19vJNZY_5yjcGF2XGBMNZRCAIB0Kwfpjp8YEOfu-bneM/edit?usp=sharing"",""งานกองทุน!J79"")"),9)</f>
        <v>9</v>
      </c>
      <c r="K824" s="38">
        <f t="shared" ca="1" si="334"/>
        <v>100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IFERROR(__xludf.DUMMYFUNCTION("IMPORTRANGE(""https://docs.google.com/spreadsheets/d/19vJNZY_5yjcGF2XGBMNZRCAIB0Kwfpjp8YEOfu-bneM/edit?usp=sharing"",""งานกองทุน!N79"")"),91681.58)</f>
        <v>91681.58</v>
      </c>
      <c r="J825" s="37">
        <f ca="1">IFERROR(__xludf.DUMMYFUNCTION("IMPORTRANGE(""https://docs.google.com/spreadsheets/d/19vJNZY_5yjcGF2XGBMNZRCAIB0Kwfpjp8YEOfu-bneM/edit?usp=sharing"",""งานกองทุน!P79"")"),53162.39)</f>
        <v>53162.39</v>
      </c>
      <c r="K825" s="38">
        <f t="shared" ca="1" si="334"/>
        <v>57.985900766544383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IFERROR(__xludf.DUMMYFUNCTION("IMPORTRANGE(""https://docs.google.com/spreadsheets/d/19vJNZY_5yjcGF2XGBMNZRCAIB0Kwfpjp8YEOfu-bneM/edit?usp=sharing"",""งานกองทุน!M79"")"),172)</f>
        <v>172</v>
      </c>
      <c r="J826" s="37">
        <f ca="1">IFERROR(__xludf.DUMMYFUNCTION("IMPORTRANGE(""https://docs.google.com/spreadsheets/d/19vJNZY_5yjcGF2XGBMNZRCAIB0Kwfpjp8YEOfu-bneM/edit?usp=sharing"",""งานกองทุน!O79"")"),91)</f>
        <v>91</v>
      </c>
      <c r="K826" s="38">
        <f t="shared" ca="1" si="334"/>
        <v>52.906976744186046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IFERROR(__xludf.DUMMYFUNCTION("IMPORTRANGE(""https://docs.google.com/spreadsheets/d/19vJNZY_5yjcGF2XGBMNZRCAIB0Kwfpjp8YEOfu-bneM/edit?usp=sharing"",""งานกองทุน!S79"")"),330000)</f>
        <v>330000</v>
      </c>
      <c r="J827" s="37">
        <f ca="1">IFERROR(__xludf.DUMMYFUNCTION("IMPORTRANGE(""https://docs.google.com/spreadsheets/d/19vJNZY_5yjcGF2XGBMNZRCAIB0Kwfpjp8YEOfu-bneM/edit?usp=sharing"",""งานกองทุน!U79"")"),300000)</f>
        <v>300000</v>
      </c>
      <c r="K827" s="38">
        <f t="shared" ca="1" si="334"/>
        <v>90.909090909090907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IFERROR(__xludf.DUMMYFUNCTION("IMPORTRANGE(""https://docs.google.com/spreadsheets/d/19vJNZY_5yjcGF2XGBMNZRCAIB0Kwfpjp8YEOfu-bneM/edit?usp=sharing"",""งานกองทุน!R79"")"),13)</f>
        <v>13</v>
      </c>
      <c r="J828" s="365">
        <f ca="1">IFERROR(__xludf.DUMMYFUNCTION("IMPORTRANGE(""https://docs.google.com/spreadsheets/d/19vJNZY_5yjcGF2XGBMNZRCAIB0Kwfpjp8YEOfu-bneM/edit?usp=sharing"",""งานกองทุน!T79"")"),10)</f>
        <v>10</v>
      </c>
      <c r="K828" s="475">
        <f t="shared" ca="1" si="334"/>
        <v>76.92307692307692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B0CC9-9159-4C4C-AD7C-D67E9CF34C5E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3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342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3009713</v>
      </c>
      <c r="M8" s="22">
        <f t="shared" ca="1" si="0"/>
        <v>3182301</v>
      </c>
      <c r="N8" s="22">
        <f t="shared" ca="1" si="0"/>
        <v>2464502.34</v>
      </c>
      <c r="O8" s="22">
        <f t="shared" ref="O8:O16" ca="1" si="1">IF(L8&gt;0,N8*100/L8,0)</f>
        <v>81.884961788715401</v>
      </c>
      <c r="P8" s="22">
        <f t="shared" ref="P8:P16" ca="1" si="2">IF(M8&gt;0,N8*100/M8,0)</f>
        <v>77.444036249242288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3009713</v>
      </c>
      <c r="M10" s="30">
        <f t="shared" ca="1" si="3"/>
        <v>3182301</v>
      </c>
      <c r="N10" s="30">
        <f t="shared" ca="1" si="3"/>
        <v>2464502.34</v>
      </c>
      <c r="O10" s="30">
        <f t="shared" ca="1" si="1"/>
        <v>81.884961788715401</v>
      </c>
      <c r="P10" s="30">
        <f t="shared" ca="1" si="2"/>
        <v>77.444036249242288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2933713</v>
      </c>
      <c r="M11" s="38">
        <f t="shared" ca="1" si="4"/>
        <v>3106301</v>
      </c>
      <c r="N11" s="38">
        <f t="shared" ca="1" si="4"/>
        <v>2388502.34</v>
      </c>
      <c r="O11" s="38">
        <f t="shared" ca="1" si="1"/>
        <v>81.415678357085369</v>
      </c>
      <c r="P11" s="38">
        <f t="shared" ca="1" si="2"/>
        <v>76.892173037963801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2933713</v>
      </c>
      <c r="M13" s="45">
        <f t="shared" ca="1" si="5"/>
        <v>3106301</v>
      </c>
      <c r="N13" s="45">
        <f t="shared" ca="1" si="5"/>
        <v>2388502.34</v>
      </c>
      <c r="O13" s="45">
        <f t="shared" ca="1" si="1"/>
        <v>81.415678357085369</v>
      </c>
      <c r="P13" s="45">
        <f t="shared" ca="1" si="2"/>
        <v>76.892173037963801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76000</v>
      </c>
      <c r="M14" s="38">
        <f t="shared" ca="1" si="6"/>
        <v>76000</v>
      </c>
      <c r="N14" s="38">
        <f t="shared" ca="1" si="6"/>
        <v>76000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2597980</v>
      </c>
      <c r="N18" s="22">
        <f t="shared" ca="1" si="8"/>
        <v>2198026.34</v>
      </c>
      <c r="O18" s="22">
        <f t="shared" ref="O18:O26" ca="1" si="9">IF(L18&gt;0,N18*100/L18,0)</f>
        <v>90.625611859856051</v>
      </c>
      <c r="P18" s="22">
        <f t="shared" ref="P18:P26" ca="1" si="10">IF(M18&gt;0,N18*100/M18,0)</f>
        <v>84.605206352627818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2597980</v>
      </c>
      <c r="N20" s="30">
        <f t="shared" ca="1" si="11"/>
        <v>2198026.34</v>
      </c>
      <c r="O20" s="30">
        <f t="shared" ca="1" si="9"/>
        <v>90.625611859856051</v>
      </c>
      <c r="P20" s="30">
        <f t="shared" ca="1" si="10"/>
        <v>84.605206352627818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2349392</v>
      </c>
      <c r="M21" s="38">
        <f t="shared" ca="1" si="12"/>
        <v>2521980</v>
      </c>
      <c r="N21" s="38">
        <f t="shared" ca="1" si="12"/>
        <v>2122026.34</v>
      </c>
      <c r="O21" s="38">
        <f t="shared" ca="1" si="9"/>
        <v>90.322361700388868</v>
      </c>
      <c r="P21" s="38">
        <f t="shared" ca="1" si="10"/>
        <v>84.14128343603042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2349392</v>
      </c>
      <c r="M23" s="45">
        <f t="shared" ca="1" si="13"/>
        <v>2521980</v>
      </c>
      <c r="N23" s="45">
        <f t="shared" ca="1" si="13"/>
        <v>2122026.34</v>
      </c>
      <c r="O23" s="45">
        <f t="shared" ca="1" si="9"/>
        <v>90.322361700388868</v>
      </c>
      <c r="P23" s="45">
        <f t="shared" ca="1" si="10"/>
        <v>84.14128343603042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76000</v>
      </c>
      <c r="M24" s="38">
        <f t="shared" ca="1" si="14"/>
        <v>76000</v>
      </c>
      <c r="N24" s="38">
        <f t="shared" ca="1" si="14"/>
        <v>76000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584321</v>
      </c>
      <c r="M28" s="22">
        <f t="shared" ca="1" si="16"/>
        <v>584321</v>
      </c>
      <c r="N28" s="22">
        <f t="shared" si="16"/>
        <v>266476</v>
      </c>
      <c r="O28" s="22">
        <f t="shared" ref="O28:O37" ca="1" si="17">IF(L28&gt;0,N28*100/L28,0)</f>
        <v>45.604385260841212</v>
      </c>
      <c r="P28" s="22">
        <f t="shared" ref="P28:P37" ca="1" si="18">IF(M28&gt;0,N28*100/M28,0)</f>
        <v>45.604385260841212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584321</v>
      </c>
      <c r="M30" s="30">
        <f t="shared" ca="1" si="19"/>
        <v>584321</v>
      </c>
      <c r="N30" s="30">
        <f t="shared" si="19"/>
        <v>266476</v>
      </c>
      <c r="O30" s="30">
        <f t="shared" ca="1" si="17"/>
        <v>45.604385260841212</v>
      </c>
      <c r="P30" s="30">
        <f t="shared" ca="1" si="18"/>
        <v>45.604385260841212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584321</v>
      </c>
      <c r="M31" s="38">
        <f t="shared" ca="1" si="20"/>
        <v>584321</v>
      </c>
      <c r="N31" s="38">
        <f t="shared" si="20"/>
        <v>266476</v>
      </c>
      <c r="O31" s="38">
        <f t="shared" ca="1" si="17"/>
        <v>45.604385260841212</v>
      </c>
      <c r="P31" s="38">
        <f t="shared" ca="1" si="18"/>
        <v>45.604385260841212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584321</v>
      </c>
      <c r="M33" s="45">
        <f t="shared" ca="1" si="21"/>
        <v>584321</v>
      </c>
      <c r="N33" s="45">
        <f t="shared" si="21"/>
        <v>266476</v>
      </c>
      <c r="O33" s="45">
        <f t="shared" ca="1" si="17"/>
        <v>45.604385260841212</v>
      </c>
      <c r="P33" s="45">
        <f t="shared" ca="1" si="18"/>
        <v>45.604385260841212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2425392</v>
      </c>
      <c r="M37" s="792">
        <f t="shared" ca="1" si="24"/>
        <v>2597980</v>
      </c>
      <c r="N37" s="792">
        <f t="shared" ca="1" si="24"/>
        <v>2198026.34</v>
      </c>
      <c r="O37" s="792">
        <f t="shared" ca="1" si="17"/>
        <v>90.625611859856051</v>
      </c>
      <c r="P37" s="792">
        <f t="shared" ca="1" si="18"/>
        <v>84.605206352627818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465290</v>
      </c>
      <c r="N41" s="85">
        <f t="shared" ca="1" si="25"/>
        <v>398119</v>
      </c>
      <c r="O41" s="85">
        <f t="shared" ref="O41:O49" ca="1" si="26">IF(L41&gt;0,N41*100/L41,0)</f>
        <v>105.75839040277121</v>
      </c>
      <c r="P41" s="85">
        <f t="shared" ref="P41:P49" ca="1" si="27">IF(M41&gt;0,N41*100/M41,0)</f>
        <v>85.56362698532098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465290</v>
      </c>
      <c r="N43" s="92">
        <f t="shared" ca="1" si="28"/>
        <v>398119</v>
      </c>
      <c r="O43" s="92">
        <f t="shared" ca="1" si="26"/>
        <v>105.75839040277121</v>
      </c>
      <c r="P43" s="92">
        <f t="shared" ca="1" si="27"/>
        <v>85.56362698532098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376442</v>
      </c>
      <c r="M44" s="38">
        <f t="shared" ca="1" si="29"/>
        <v>465290</v>
      </c>
      <c r="N44" s="38">
        <f t="shared" ca="1" si="29"/>
        <v>398119</v>
      </c>
      <c r="O44" s="38">
        <f t="shared" ca="1" si="26"/>
        <v>105.75839040277121</v>
      </c>
      <c r="P44" s="38">
        <f t="shared" ca="1" si="27"/>
        <v>85.56362698532098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IFERROR(__xludf.DUMMYFUNCTION("IMPORTRANGE(""https://docs.google.com/spreadsheets/d/1MeEWN-I1oV_STSDYn1IFDPWt_1FKiwhDph83XaGc0o0/edit?usp=sharing"",""งบพรบ!M80"")"),376442)</f>
        <v>376442</v>
      </c>
      <c r="M46" s="45">
        <f ca="1">IFERROR(__xludf.DUMMYFUNCTION("IMPORTRANGE(""https://docs.google.com/spreadsheets/d/1MeEWN-I1oV_STSDYn1IFDPWt_1FKiwhDph83XaGc0o0/edit?usp=sharing"",""งบพรบ!R80"")"),465290)</f>
        <v>465290</v>
      </c>
      <c r="N46" s="45">
        <f ca="1">IFERROR(__xludf.DUMMYFUNCTION("IMPORTRANGE(""https://docs.google.com/spreadsheets/d/1MeEWN-I1oV_STSDYn1IFDPWt_1FKiwhDph83XaGc0o0/edit?usp=sharing"",""งบพรบ!T80"")"),398119)</f>
        <v>398119</v>
      </c>
      <c r="O46" s="45">
        <f t="shared" ca="1" si="26"/>
        <v>105.75839040277121</v>
      </c>
      <c r="P46" s="45">
        <f t="shared" ca="1" si="27"/>
        <v>85.56362698532098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572600</v>
      </c>
      <c r="M53" s="115">
        <f t="shared" ca="1" si="31"/>
        <v>572600</v>
      </c>
      <c r="N53" s="115">
        <f t="shared" ca="1" si="31"/>
        <v>542578.84</v>
      </c>
      <c r="O53" s="115">
        <f t="shared" ref="O53:O61" ca="1" si="32">IF(L53&gt;0,N53*100/L53,0)</f>
        <v>94.757045057631856</v>
      </c>
      <c r="P53" s="115">
        <f t="shared" ref="P53:P61" ca="1" si="33">IF(M53&gt;0,N53*100/M53,0)</f>
        <v>94.757045057631856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572600</v>
      </c>
      <c r="M55" s="122">
        <f t="shared" ca="1" si="34"/>
        <v>572600</v>
      </c>
      <c r="N55" s="122">
        <f t="shared" ca="1" si="34"/>
        <v>542578.84</v>
      </c>
      <c r="O55" s="122">
        <f t="shared" ca="1" si="32"/>
        <v>94.757045057631856</v>
      </c>
      <c r="P55" s="122">
        <f t="shared" ca="1" si="33"/>
        <v>94.757045057631856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572600</v>
      </c>
      <c r="M56" s="38">
        <f t="shared" ca="1" si="35"/>
        <v>572600</v>
      </c>
      <c r="N56" s="38">
        <f t="shared" ca="1" si="35"/>
        <v>542578.84</v>
      </c>
      <c r="O56" s="38">
        <f t="shared" ca="1" si="32"/>
        <v>94.757045057631856</v>
      </c>
      <c r="P56" s="38">
        <f t="shared" ca="1" si="33"/>
        <v>94.757045057631856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IFERROR(__xludf.DUMMYFUNCTION("IMPORTRANGE(""https://docs.google.com/spreadsheets/d/1MeEWN-I1oV_STSDYn1IFDPWt_1FKiwhDph83XaGc0o0/edit?usp=sharing"",""งบพรบ!W80"")"),572600)</f>
        <v>572600</v>
      </c>
      <c r="M58" s="45">
        <f ca="1">IFERROR(__xludf.DUMMYFUNCTION("IMPORTRANGE(""https://docs.google.com/spreadsheets/d/1MeEWN-I1oV_STSDYn1IFDPWt_1FKiwhDph83XaGc0o0/edit?usp=sharing"",""งบพรบ!AB80"")"),572600)</f>
        <v>572600</v>
      </c>
      <c r="N58" s="45">
        <f ca="1">IFERROR(__xludf.DUMMYFUNCTION("IMPORTRANGE(""https://docs.google.com/spreadsheets/d/1MeEWN-I1oV_STSDYn1IFDPWt_1FKiwhDph83XaGc0o0/edit?usp=sharing"",""งบพรบ!AD80"")"),542578.84)</f>
        <v>542578.84</v>
      </c>
      <c r="O58" s="45">
        <f t="shared" ca="1" si="32"/>
        <v>94.757045057631856</v>
      </c>
      <c r="P58" s="45">
        <f t="shared" ca="1" si="33"/>
        <v>94.757045057631856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IFERROR(__xludf.DUMMYFUNCTION("IMPORTRANGE(""https://docs.google.com/spreadsheets/d/1MeEWN-I1oV_STSDYn1IFDPWt_1FKiwhDph83XaGc0o0/edit?usp=sharing"",""งบพรบ!AG80"")"),0)</f>
        <v>0</v>
      </c>
      <c r="M71" s="45">
        <f ca="1">IFERROR(__xludf.DUMMYFUNCTION("IMPORTRANGE(""https://docs.google.com/spreadsheets/d/1MeEWN-I1oV_STSDYn1IFDPWt_1FKiwhDph83XaGc0o0/edit?usp=sharing"",""งบพรบ!AL80"")"),0)</f>
        <v>0</v>
      </c>
      <c r="N71" s="45">
        <f ca="1">IFERROR(__xludf.DUMMYFUNCTION("IMPORTRANGE(""https://docs.google.com/spreadsheets/d/1MeEWN-I1oV_STSDYn1IFDPWt_1FKiwhDph83XaGc0o0/edit?usp=sharing"",""งบพรบ!AN80"")"),0)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IFERROR(__xludf.DUMMYFUNCTION("IMPORTRANGE(""https://docs.google.com/spreadsheets/d/1MeEWN-I1oV_STSDYn1IFDPWt_1FKiwhDph83XaGc0o0/edit?usp=sharing"",""งบพรบ!AJ80"")"),0)</f>
        <v>0</v>
      </c>
      <c r="M74" s="45">
        <f ca="1">IFERROR(__xludf.DUMMYFUNCTION("IMPORTRANGE(""https://docs.google.com/spreadsheets/d/1MeEWN-I1oV_STSDYn1IFDPWt_1FKiwhDph83XaGc0o0/edit?usp=sharing"",""งบพรบ!AM80"")"),0)</f>
        <v>0</v>
      </c>
      <c r="N74" s="45">
        <f ca="1">IFERROR(__xludf.DUMMYFUNCTION("IMPORTRANGE(""https://docs.google.com/spreadsheets/d/1MeEWN-I1oV_STSDYn1IFDPWt_1FKiwhDph83XaGc0o0/edit?usp=sharing"",""งบพรบ!AO80"")"),0)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IFERROR(__xludf.DUMMYFUNCTION("IMPORTRANGE(""https://docs.google.com/spreadsheets/d/1QqKyyYR6Q21VydFLVH3TRQUabQu_ym0Zz7PgGX0-kHA/edit?usp=sharing"",""แผน!H80"")"),0)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IFERROR(__xludf.DUMMYFUNCTION("IMPORTRANGE(""https://docs.google.com/spreadsheets/d/1QqKyyYR6Q21VydFLVH3TRQUabQu_ym0Zz7PgGX0-kHA/edit?usp=sharing"",""แผน!I80"")"),0)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IFERROR(__xludf.DUMMYFUNCTION("IMPORTRANGE(""https://docs.google.com/spreadsheets/d/1QqKyyYR6Q21VydFLVH3TRQUabQu_ym0Zz7PgGX0-kHA/edit?usp=sharing"",""แผน!F80"")"),0)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IFERROR(__xludf.DUMMYFUNCTION("IMPORTRANGE(""https://docs.google.com/spreadsheets/d/1QqKyyYR6Q21VydFLVH3TRQUabQu_ym0Zz7PgGX0-kHA/edit?usp=sharing"",""แผน!G80"")"),0)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IFERROR(__xludf.DUMMYFUNCTION("IMPORTRANGE(""https://docs.google.com/spreadsheets/d/1QqKyyYR6Q21VydFLVH3TRQUabQu_ym0Zz7PgGX0-kHA/edit?usp=sharing"",""แผน!D80"")"),0)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IFERROR(__xludf.DUMMYFUNCTION("IMPORTRANGE(""https://docs.google.com/spreadsheets/d/1QqKyyYR6Q21VydFLVH3TRQUabQu_ym0Zz7PgGX0-kHA/edit?usp=sharing"",""แผน!E80"")"),0)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IFERROR(__xludf.DUMMYFUNCTION("IMPORTRANGE(""https://docs.google.com/spreadsheets/d/1QqKyyYR6Q21VydFLVH3TRQUabQu_ym0Zz7PgGX0-kHA/edit?usp=sharing"",""แผน!J80"")"),0)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228840</v>
      </c>
      <c r="M88" s="154">
        <f t="shared" ca="1" si="49"/>
        <v>228840</v>
      </c>
      <c r="N88" s="154">
        <f t="shared" ca="1" si="49"/>
        <v>181921.28</v>
      </c>
      <c r="O88" s="154">
        <f t="shared" ref="O88:O96" ca="1" si="50">IF(L88&gt;0,N88*100/L88,0)</f>
        <v>79.497150847753886</v>
      </c>
      <c r="P88" s="154">
        <f t="shared" ref="P88:P96" ca="1" si="51">IF(M88&gt;0,N88*100/M88,0)</f>
        <v>79.497150847753886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228840</v>
      </c>
      <c r="M90" s="45">
        <f t="shared" ca="1" si="52"/>
        <v>228840</v>
      </c>
      <c r="N90" s="45">
        <f t="shared" ca="1" si="52"/>
        <v>181921.28</v>
      </c>
      <c r="O90" s="45">
        <f t="shared" ca="1" si="50"/>
        <v>79.497150847753886</v>
      </c>
      <c r="P90" s="45">
        <f t="shared" ca="1" si="51"/>
        <v>79.497150847753886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228840</v>
      </c>
      <c r="M91" s="38">
        <f t="shared" ca="1" si="53"/>
        <v>228840</v>
      </c>
      <c r="N91" s="38">
        <f t="shared" ca="1" si="53"/>
        <v>181921.28</v>
      </c>
      <c r="O91" s="38">
        <f t="shared" ca="1" si="50"/>
        <v>79.497150847753886</v>
      </c>
      <c r="P91" s="38">
        <f t="shared" ca="1" si="51"/>
        <v>79.497150847753886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IFERROR(__xludf.DUMMYFUNCTION("IMPORTRANGE(""https://docs.google.com/spreadsheets/d/1MeEWN-I1oV_STSDYn1IFDPWt_1FKiwhDph83XaGc0o0/edit?usp=sharing"",""งบพรบ!AQ80"")"),228840)</f>
        <v>228840</v>
      </c>
      <c r="M93" s="45">
        <f ca="1">IFERROR(__xludf.DUMMYFUNCTION("IMPORTRANGE(""https://docs.google.com/spreadsheets/d/1MeEWN-I1oV_STSDYn1IFDPWt_1FKiwhDph83XaGc0o0/edit?usp=sharing"",""งบพรบ!AV80"")"),228840)</f>
        <v>228840</v>
      </c>
      <c r="N93" s="45">
        <f ca="1">IFERROR(__xludf.DUMMYFUNCTION("IMPORTRANGE(""https://docs.google.com/spreadsheets/d/1MeEWN-I1oV_STSDYn1IFDPWt_1FKiwhDph83XaGc0o0/edit?usp=sharing"",""งบพรบ!AX80"")"),181921.28)</f>
        <v>181921.28</v>
      </c>
      <c r="O93" s="45">
        <f t="shared" ca="1" si="50"/>
        <v>79.497150847753886</v>
      </c>
      <c r="P93" s="45">
        <f t="shared" ca="1" si="51"/>
        <v>79.497150847753886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IFERROR(__xludf.DUMMYFUNCTION("IMPORTRANGE(""https://docs.google.com/spreadsheets/d/1MeEWN-I1oV_STSDYn1IFDPWt_1FKiwhDph83XaGc0o0/edit?usp=sharing"",""งบพรบ!AT80"")"),0)</f>
        <v>0</v>
      </c>
      <c r="M96" s="45">
        <f ca="1">IFERROR(__xludf.DUMMYFUNCTION("IMPORTRANGE(""https://docs.google.com/spreadsheets/d/1MeEWN-I1oV_STSDYn1IFDPWt_1FKiwhDph83XaGc0o0/edit?usp=sharing"",""งบพรบ!AW80"")"),0)</f>
        <v>0</v>
      </c>
      <c r="N96" s="45">
        <f ca="1">IFERROR(__xludf.DUMMYFUNCTION("IMPORTRANGE(""https://docs.google.com/spreadsheets/d/1MeEWN-I1oV_STSDYn1IFDPWt_1FKiwhDph83XaGc0o0/edit?usp=sharing"",""งบพรบ!AY80"")"),0)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IFERROR(__xludf.DUMMYFUNCTION("IMPORTRANGE(""https://docs.google.com/spreadsheets/d/1QqKyyYR6Q21VydFLVH3TRQUabQu_ym0Zz7PgGX0-kHA/edit?usp=sharing"",""แผน!K80"")"),30)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IFERROR(__xludf.DUMMYFUNCTION("IMPORTRANGE(""https://docs.google.com/spreadsheets/d/1QqKyyYR6Q21VydFLVH3TRQUabQu_ym0Zz7PgGX0-kHA/edit?usp=sharing"",""แผน!L80"")"),10)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IFERROR(__xludf.DUMMYFUNCTION("IMPORTRANGE(""https://docs.google.com/spreadsheets/d/1QqKyyYR6Q21VydFLVH3TRQUabQu_ym0Zz7PgGX0-kHA/edit?usp=sharing"",""แผน!M80"")"),2)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IFERROR(__xludf.DUMMYFUNCTION("IMPORTRANGE(""https://docs.google.com/spreadsheets/d/1QqKyyYR6Q21VydFLVH3TRQUabQu_ym0Zz7PgGX0-kHA/edit?usp=sharing"",""แผน!N80"")"),30)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IFERROR(__xludf.DUMMYFUNCTION("IMPORTRANGE(""https://docs.google.com/spreadsheets/d/1QqKyyYR6Q21VydFLVH3TRQUabQu_ym0Zz7PgGX0-kHA/edit?usp=sharing"",""แผน!O80"")"),10)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IFERROR(__xludf.DUMMYFUNCTION("IMPORTRANGE(""https://docs.google.com/spreadsheets/d/1QqKyyYR6Q21VydFLVH3TRQUabQu_ym0Zz7PgGX0-kHA/edit?usp=sharing"",""แผน!O80"")"),10)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IFERROR(__xludf.DUMMYFUNCTION("IMPORTRANGE(""https://docs.google.com/spreadsheets/d/1QqKyyYR6Q21VydFLVH3TRQUabQu_ym0Zz7PgGX0-kHA/edit?usp=sharing"",""แผน!P80"")"),1)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IFERROR(__xludf.DUMMYFUNCTION("IMPORTRANGE(""https://docs.google.com/spreadsheets/d/1QqKyyYR6Q21VydFLVH3TRQUabQu_ym0Zz7PgGX0-kHA/edit?usp=sharing"",""แผน!P80"")"),1)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IFERROR(__xludf.DUMMYFUNCTION("IMPORTRANGE(""https://docs.google.com/spreadsheets/d/1QqKyyYR6Q21VydFLVH3TRQUabQu_ym0Zz7PgGX0-kHA/edit?usp=sharing"",""แผน!Q80"")"),1)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IFERROR(__xludf.DUMMYFUNCTION("IMPORTRANGE(""https://docs.google.com/spreadsheets/d/1QqKyyYR6Q21VydFLVH3TRQUabQu_ym0Zz7PgGX0-kHA/edit?usp=sharing"",""แผน!Q80"")"),1)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IFERROR(__xludf.DUMMYFUNCTION("IMPORTRANGE(""https://docs.google.com/spreadsheets/d/1QqKyyYR6Q21VydFLVH3TRQUabQu_ym0Zz7PgGX0-kHA/edit?usp=sharing"",""แผน!R80"")"),10)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IFERROR(__xludf.DUMMYFUNCTION("IMPORTRANGE(""https://docs.google.com/spreadsheets/d/1QqKyyYR6Q21VydFLVH3TRQUabQu_ym0Zz7PgGX0-kHA/edit?usp=sharing"",""แผน!R80"")"),10)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IFERROR(__xludf.DUMMYFUNCTION("IMPORTRANGE(""https://docs.google.com/spreadsheets/d/1QqKyyYR6Q21VydFLVH3TRQUabQu_ym0Zz7PgGX0-kHA/edit?usp=sharing"",""แผน!R80"")"),10)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IFERROR(__xludf.DUMMYFUNCTION("IMPORTRANGE(""https://docs.google.com/spreadsheets/d/1QqKyyYR6Q21VydFLVH3TRQUabQu_ym0Zz7PgGX0-kHA/edit?usp=sharing"",""แผน!S80"")"),1)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IFERROR(__xludf.DUMMYFUNCTION("IMPORTRANGE(""https://docs.google.com/spreadsheets/d/1QqKyyYR6Q21VydFLVH3TRQUabQu_ym0Zz7PgGX0-kHA/edit?usp=sharing"",""แผน!T80"")"),1)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IFERROR(__xludf.DUMMYFUNCTION("IMPORTRANGE(""https://docs.google.com/spreadsheets/d/1MeEWN-I1oV_STSDYn1IFDPWt_1FKiwhDph83XaGc0o0/edit?usp=sharing"",""งบพรบ!BA80"")"),0)</f>
        <v>0</v>
      </c>
      <c r="M124" s="45">
        <f ca="1">IFERROR(__xludf.DUMMYFUNCTION("IMPORTRANGE(""https://docs.google.com/spreadsheets/d/1MeEWN-I1oV_STSDYn1IFDPWt_1FKiwhDph83XaGc0o0/edit?usp=sharing"",""งบพรบ!BF80"")"),0)</f>
        <v>0</v>
      </c>
      <c r="N124" s="45">
        <f ca="1">IFERROR(__xludf.DUMMYFUNCTION("IMPORTRANGE(""https://docs.google.com/spreadsheets/d/1MeEWN-I1oV_STSDYn1IFDPWt_1FKiwhDph83XaGc0o0/edit?usp=sharing"",""งบพรบ!BH80"")"),0)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IFERROR(__xludf.DUMMYFUNCTION("IMPORTRANGE(""https://docs.google.com/spreadsheets/d/1MeEWN-I1oV_STSDYn1IFDPWt_1FKiwhDph83XaGc0o0/edit?usp=sharing"",""งบพรบ!BD80"")"),0)</f>
        <v>0</v>
      </c>
      <c r="M127" s="45">
        <f ca="1">IFERROR(__xludf.DUMMYFUNCTION("IMPORTRANGE(""https://docs.google.com/spreadsheets/d/1MeEWN-I1oV_STSDYn1IFDPWt_1FKiwhDph83XaGc0o0/edit?usp=sharing"",""งบพรบ!BG80"")"),0)</f>
        <v>0</v>
      </c>
      <c r="N127" s="45">
        <f ca="1">IFERROR(__xludf.DUMMYFUNCTION("IMPORTRANGE(""https://docs.google.com/spreadsheets/d/1MeEWN-I1oV_STSDYn1IFDPWt_1FKiwhDph83XaGc0o0/edit?usp=sharing"",""งบพรบ!BI80"")"),0)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IFERROR(__xludf.DUMMYFUNCTION("IMPORTRANGE(""https://docs.google.com/spreadsheets/d/1MeEWN-I1oV_STSDYn1IFDPWt_1FKiwhDph83XaGc0o0/edit?usp=sharing"",""งบพรบ!BK80"")"),0)</f>
        <v>0</v>
      </c>
      <c r="M137" s="45">
        <f ca="1">IFERROR(__xludf.DUMMYFUNCTION("IMPORTRANGE(""https://docs.google.com/spreadsheets/d/1MeEWN-I1oV_STSDYn1IFDPWt_1FKiwhDph83XaGc0o0/edit?usp=sharing"",""งบพรบ!BP80"")"),0)</f>
        <v>0</v>
      </c>
      <c r="N137" s="45">
        <f ca="1">IFERROR(__xludf.DUMMYFUNCTION("IMPORTRANGE(""https://docs.google.com/spreadsheets/d/1MeEWN-I1oV_STSDYn1IFDPWt_1FKiwhDph83XaGc0o0/edit?usp=sharing"",""งบพรบ!BR80"")"),0)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IFERROR(__xludf.DUMMYFUNCTION("IMPORTRANGE(""https://docs.google.com/spreadsheets/d/1MeEWN-I1oV_STSDYn1IFDPWt_1FKiwhDph83XaGc0o0/edit?usp=sharing"",""งบพรบ!BN80"")"),0)</f>
        <v>0</v>
      </c>
      <c r="M140" s="45">
        <f ca="1">IFERROR(__xludf.DUMMYFUNCTION("IMPORTRANGE(""https://docs.google.com/spreadsheets/d/1MeEWN-I1oV_STSDYn1IFDPWt_1FKiwhDph83XaGc0o0/edit?usp=sharing"",""งบพรบ!BQ80"")"),0)</f>
        <v>0</v>
      </c>
      <c r="N140" s="45">
        <f ca="1">IFERROR(__xludf.DUMMYFUNCTION("IMPORTRANGE(""https://docs.google.com/spreadsheets/d/1MeEWN-I1oV_STSDYn1IFDPWt_1FKiwhDph83XaGc0o0/edit?usp=sharing"",""งบพรบ!BS80"")"),0)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IFERROR(__xludf.DUMMYFUNCTION("IMPORTRANGE(""https://docs.google.com/spreadsheets/d/1QqKyyYR6Q21VydFLVH3TRQUabQu_ym0Zz7PgGX0-kHA/edit?usp=sharing"",""แผน!U80"")"),0)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IFERROR(__xludf.DUMMYFUNCTION("IMPORTRANGE(""https://docs.google.com/spreadsheets/d/1QqKyyYR6Q21VydFLVH3TRQUabQu_ym0Zz7PgGX0-kHA/edit?usp=sharing"",""แผน!V80"")"),0)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IFERROR(__xludf.DUMMYFUNCTION("IMPORTRANGE(""https://docs.google.com/spreadsheets/d/1QqKyyYR6Q21VydFLVH3TRQUabQu_ym0Zz7PgGX0-kHA/edit?usp=sharing"",""แผน!W80"")"),0)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IFERROR(__xludf.DUMMYFUNCTION("IMPORTRANGE(""https://docs.google.com/spreadsheets/d/1MeEWN-I1oV_STSDYn1IFDPWt_1FKiwhDph83XaGc0o0/edit?usp=sharing"",""งบพรบ!BU80"")"),0)</f>
        <v>0</v>
      </c>
      <c r="M154" s="45">
        <f ca="1">IFERROR(__xludf.DUMMYFUNCTION("IMPORTRANGE(""https://docs.google.com/spreadsheets/d/1MeEWN-I1oV_STSDYn1IFDPWt_1FKiwhDph83XaGc0o0/edit?usp=sharing"",""งบพรบ!BZ80"")"),0)</f>
        <v>0</v>
      </c>
      <c r="N154" s="45">
        <f ca="1">IFERROR(__xludf.DUMMYFUNCTION("IMPORTRANGE(""https://docs.google.com/spreadsheets/d/1MeEWN-I1oV_STSDYn1IFDPWt_1FKiwhDph83XaGc0o0/edit?usp=sharing"",""งบพรบ!CB80"")"),0)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IFERROR(__xludf.DUMMYFUNCTION("IMPORTRANGE(""https://docs.google.com/spreadsheets/d/1MeEWN-I1oV_STSDYn1IFDPWt_1FKiwhDph83XaGc0o0/edit?usp=sharing"",""งบพรบ!BX80"")"),0)</f>
        <v>0</v>
      </c>
      <c r="M157" s="45">
        <f ca="1">IFERROR(__xludf.DUMMYFUNCTION("IMPORTRANGE(""https://docs.google.com/spreadsheets/d/1MeEWN-I1oV_STSDYn1IFDPWt_1FKiwhDph83XaGc0o0/edit?usp=sharing"",""งบพรบ!CA80"")"),0)</f>
        <v>0</v>
      </c>
      <c r="N157" s="45">
        <f ca="1">IFERROR(__xludf.DUMMYFUNCTION("IMPORTRANGE(""https://docs.google.com/spreadsheets/d/1MeEWN-I1oV_STSDYn1IFDPWt_1FKiwhDph83XaGc0o0/edit?usp=sharing"",""งบพรบ!CC80"")"),0)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IFERROR(__xludf.DUMMYFUNCTION("IMPORTRANGE(""https://docs.google.com/spreadsheets/d/1QqKyyYR6Q21VydFLVH3TRQUabQu_ym0Zz7PgGX0-kHA/edit?usp=sharing"",""แผน!X80"")"),0)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10</v>
      </c>
      <c r="J164" s="242">
        <f t="shared" si="83"/>
        <v>10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21050</v>
      </c>
      <c r="M165" s="154">
        <f t="shared" ca="1" si="84"/>
        <v>42290</v>
      </c>
      <c r="N165" s="154">
        <f t="shared" ca="1" si="84"/>
        <v>42290</v>
      </c>
      <c r="O165" s="154">
        <f t="shared" ref="O165:O173" ca="1" si="85">IF(L165&gt;0,N165*100/L165,0)</f>
        <v>200.90261282660333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21050</v>
      </c>
      <c r="M167" s="45">
        <f t="shared" ca="1" si="87"/>
        <v>42290</v>
      </c>
      <c r="N167" s="45">
        <f t="shared" ca="1" si="87"/>
        <v>42290</v>
      </c>
      <c r="O167" s="45">
        <f t="shared" ca="1" si="85"/>
        <v>200.90261282660333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21050</v>
      </c>
      <c r="M168" s="38">
        <f t="shared" ca="1" si="88"/>
        <v>42290</v>
      </c>
      <c r="N168" s="38">
        <f t="shared" ca="1" si="88"/>
        <v>42290</v>
      </c>
      <c r="O168" s="38">
        <f t="shared" ca="1" si="85"/>
        <v>200.90261282660333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IFERROR(__xludf.DUMMYFUNCTION("IMPORTRANGE(""https://docs.google.com/spreadsheets/d/1MeEWN-I1oV_STSDYn1IFDPWt_1FKiwhDph83XaGc0o0/edit?usp=sharing"",""งบพรบ!CE80"")"),21050)</f>
        <v>21050</v>
      </c>
      <c r="M170" s="45">
        <f ca="1">IFERROR(__xludf.DUMMYFUNCTION("IMPORTRANGE(""https://docs.google.com/spreadsheets/d/1MeEWN-I1oV_STSDYn1IFDPWt_1FKiwhDph83XaGc0o0/edit?usp=sharing"",""งบพรบ!CJ80"")"),42290)</f>
        <v>42290</v>
      </c>
      <c r="N170" s="45">
        <f ca="1">IFERROR(__xludf.DUMMYFUNCTION("IMPORTRANGE(""https://docs.google.com/spreadsheets/d/1MeEWN-I1oV_STSDYn1IFDPWt_1FKiwhDph83XaGc0o0/edit?usp=sharing"",""งบพรบ!CL80"")"),42290)</f>
        <v>42290</v>
      </c>
      <c r="O170" s="45">
        <f t="shared" ca="1" si="85"/>
        <v>200.90261282660333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IFERROR(__xludf.DUMMYFUNCTION("IMPORTRANGE(""https://docs.google.com/spreadsheets/d/1MeEWN-I1oV_STSDYn1IFDPWt_1FKiwhDph83XaGc0o0/edit?usp=sharing"",""งบพรบ!CH80"")"),0)</f>
        <v>0</v>
      </c>
      <c r="M173" s="45">
        <f ca="1">IFERROR(__xludf.DUMMYFUNCTION("IMPORTRANGE(""https://docs.google.com/spreadsheets/d/1MeEWN-I1oV_STSDYn1IFDPWt_1FKiwhDph83XaGc0o0/edit?usp=sharing"",""งบพรบ!CK80"")"),0)</f>
        <v>0</v>
      </c>
      <c r="N173" s="45">
        <f ca="1">IFERROR(__xludf.DUMMYFUNCTION("IMPORTRANGE(""https://docs.google.com/spreadsheets/d/1MeEWN-I1oV_STSDYn1IFDPWt_1FKiwhDph83XaGc0o0/edit?usp=sharing"",""งบพรบ!CM80"")"),0)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10</v>
      </c>
      <c r="J174" s="250">
        <f t="shared" si="90"/>
        <v>10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IFERROR(__xludf.DUMMYFUNCTION("IMPORTRANGE(""https://docs.google.com/spreadsheets/d/1QqKyyYR6Q21VydFLVH3TRQUabQu_ym0Zz7PgGX0-kHA/edit?usp=sharing"",""แผน!Y80"")"),10)</f>
        <v>10</v>
      </c>
      <c r="J176" s="181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10</v>
      </c>
      <c r="J180" s="242">
        <f t="shared" si="91"/>
        <v>10</v>
      </c>
      <c r="K180" s="243">
        <f ca="1">IF(I180&gt;0,J180*100/I180,0)</f>
        <v>100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208400</v>
      </c>
      <c r="M181" s="154">
        <f t="shared" ca="1" si="92"/>
        <v>208400</v>
      </c>
      <c r="N181" s="154">
        <f t="shared" ca="1" si="92"/>
        <v>204885.79</v>
      </c>
      <c r="O181" s="154">
        <f t="shared" ref="O181:O189" ca="1" si="93">IF(L181&gt;0,N181*100/L181,0)</f>
        <v>98.313718809980813</v>
      </c>
      <c r="P181" s="154">
        <f t="shared" ref="P181:P189" ca="1" si="94">IF(M181&gt;0,N181*100/M181,0)</f>
        <v>98.313718809980813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208400</v>
      </c>
      <c r="M183" s="45">
        <f t="shared" ca="1" si="95"/>
        <v>208400</v>
      </c>
      <c r="N183" s="45">
        <f t="shared" ca="1" si="95"/>
        <v>204885.79</v>
      </c>
      <c r="O183" s="45">
        <f t="shared" ca="1" si="93"/>
        <v>98.313718809980813</v>
      </c>
      <c r="P183" s="45">
        <f t="shared" ca="1" si="94"/>
        <v>98.313718809980813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208400</v>
      </c>
      <c r="M184" s="38">
        <f t="shared" ca="1" si="96"/>
        <v>208400</v>
      </c>
      <c r="N184" s="38">
        <f t="shared" ca="1" si="96"/>
        <v>204885.79</v>
      </c>
      <c r="O184" s="38">
        <f t="shared" ca="1" si="93"/>
        <v>98.313718809980813</v>
      </c>
      <c r="P184" s="38">
        <f t="shared" ca="1" si="94"/>
        <v>98.313718809980813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IFERROR(__xludf.DUMMYFUNCTION("IMPORTRANGE(""https://docs.google.com/spreadsheets/d/1MeEWN-I1oV_STSDYn1IFDPWt_1FKiwhDph83XaGc0o0/edit?usp=sharing"",""งบพรบ!CO80"")"),208400)</f>
        <v>208400</v>
      </c>
      <c r="M186" s="45">
        <f ca="1">IFERROR(__xludf.DUMMYFUNCTION("IMPORTRANGE(""https://docs.google.com/spreadsheets/d/1MeEWN-I1oV_STSDYn1IFDPWt_1FKiwhDph83XaGc0o0/edit?usp=sharing"",""งบพรบ!CT80"")"),208400)</f>
        <v>208400</v>
      </c>
      <c r="N186" s="45">
        <f ca="1">IFERROR(__xludf.DUMMYFUNCTION("IMPORTRANGE(""https://docs.google.com/spreadsheets/d/1MeEWN-I1oV_STSDYn1IFDPWt_1FKiwhDph83XaGc0o0/edit?usp=sharing"",""งบพรบ!CV80"")"),204885.79)</f>
        <v>204885.79</v>
      </c>
      <c r="O186" s="45">
        <f t="shared" ca="1" si="93"/>
        <v>98.313718809980813</v>
      </c>
      <c r="P186" s="45">
        <f t="shared" ca="1" si="94"/>
        <v>98.313718809980813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IFERROR(__xludf.DUMMYFUNCTION("IMPORTRANGE(""https://docs.google.com/spreadsheets/d/1MeEWN-I1oV_STSDYn1IFDPWt_1FKiwhDph83XaGc0o0/edit?usp=sharing"",""งบพรบ!CR80"")"),0)</f>
        <v>0</v>
      </c>
      <c r="M189" s="45">
        <f ca="1">IFERROR(__xludf.DUMMYFUNCTION("IMPORTRANGE(""https://docs.google.com/spreadsheets/d/1MeEWN-I1oV_STSDYn1IFDPWt_1FKiwhDph83XaGc0o0/edit?usp=sharing"",""งบพรบ!CU80"")"),0)</f>
        <v>0</v>
      </c>
      <c r="N189" s="45">
        <f ca="1">IFERROR(__xludf.DUMMYFUNCTION("IMPORTRANGE(""https://docs.google.com/spreadsheets/d/1MeEWN-I1oV_STSDYn1IFDPWt_1FKiwhDph83XaGc0o0/edit?usp=sharing"",""งบพรบ!CW80"")"),0)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3</v>
      </c>
      <c r="K190" s="261">
        <f ca="1">IF(I190&gt;0,J190*100/I190,0)</f>
        <v>75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IFERROR(__xludf.DUMMYFUNCTION("IMPORTRANGE(""https://docs.google.com/spreadsheets/d/1QqKyyYR6Q21VydFLVH3TRQUabQu_ym0Zz7PgGX0-kHA/edit?usp=sharing"",""แผน!Z80"")"),6000)</f>
        <v>6000</v>
      </c>
      <c r="M191" s="154"/>
      <c r="N191" s="264">
        <v>4240</v>
      </c>
      <c r="O191" s="154">
        <f ca="1">IF(L191&gt;0,N191*100/L191,0)</f>
        <v>70.666666666666671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IFERROR(__xludf.DUMMYFUNCTION("IMPORTRANGE(""https://docs.google.com/spreadsheets/d/1QqKyyYR6Q21VydFLVH3TRQUabQu_ym0Zz7PgGX0-kHA/edit?usp=sharing"",""แผน!AC80"")"),4)</f>
        <v>4</v>
      </c>
      <c r="J193" s="181">
        <v>3</v>
      </c>
      <c r="K193" s="38">
        <f ca="1">IF(I193&gt;0,J193*100/I193,0)</f>
        <v>75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162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162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16240</v>
      </c>
      <c r="O198" s="154">
        <f ca="1">IF(L198&gt;0,N198*100/L198,0)</f>
        <v>62.46153846153846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IFERROR(__xludf.DUMMYFUNCTION("IMPORTRANGE(""https://docs.google.com/spreadsheets/d/1QqKyyYR6Q21VydFLVH3TRQUabQu_ym0Zz7PgGX0-kHA/edit?usp=sharing"",""แผน!AE80"")"),2000)</f>
        <v>2000</v>
      </c>
      <c r="M199" s="38"/>
      <c r="N199" s="270">
        <v>240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IFERROR(__xludf.DUMMYFUNCTION("IMPORTRANGE(""https://docs.google.com/spreadsheets/d/1QqKyyYR6Q21VydFLVH3TRQUabQu_ym0Zz7PgGX0-kHA/edit?usp=sharing"",""แผน!AF80"")"),16000)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IFERROR(__xludf.DUMMYFUNCTION("IMPORTRANGE(""https://docs.google.com/spreadsheets/d/1QqKyyYR6Q21VydFLVH3TRQUabQu_ym0Zz7PgGX0-kHA/edit?usp=sharing"",""แผน!AG80"")"),8000)</f>
        <v>8000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IFERROR(__xludf.DUMMYFUNCTION("IMPORTRANGE(""https://docs.google.com/spreadsheets/d/1QqKyyYR6Q21VydFLVH3TRQUabQu_ym0Zz7PgGX0-kHA/edit?usp=sharing"",""แผน!AH80"")"),0)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IFERROR(__xludf.DUMMYFUNCTION("IMPORTRANGE(""https://docs.google.com/spreadsheets/d/1QqKyyYR6Q21VydFLVH3TRQUabQu_ym0Zz7PgGX0-kHA/edit?usp=sharing"",""แผน!AI80"")"),2)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0</v>
      </c>
      <c r="K206" s="162">
        <f t="shared" ref="K206:K208" si="100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IFERROR(__xludf.DUMMYFUNCTION("IMPORTRANGE(""https://docs.google.com/spreadsheets/d/1QqKyyYR6Q21VydFLVH3TRQUabQu_ym0Zz7PgGX0-kHA/edit?usp=sharing"",""แผน!AK80"")"),0)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IFERROR(__xludf.DUMMYFUNCTION("IMPORTRANGE(""https://docs.google.com/spreadsheets/d/1QqKyyYR6Q21VydFLVH3TRQUabQu_ym0Zz7PgGX0-kHA/edit?usp=sharing"",""แผน!AL80"")"),0)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IFERROR(__xludf.DUMMYFUNCTION("IMPORTRANGE(""https://docs.google.com/spreadsheets/d/1QqKyyYR6Q21VydFLVH3TRQUabQu_ym0Zz7PgGX0-kHA/edit?usp=sharing"",""แผน!AM80"")"),0)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IFERROR(__xludf.DUMMYFUNCTION("IMPORTRANGE(""https://docs.google.com/spreadsheets/d/1QqKyyYR6Q21VydFLVH3TRQUabQu_ym0Zz7PgGX0-kHA/edit?usp=sharing"",""แผน!AN80"")"),0)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IFERROR(__xludf.DUMMYFUNCTION("IMPORTRANGE(""https://docs.google.com/spreadsheets/d/1QqKyyYR6Q21VydFLVH3TRQUabQu_ym0Zz7PgGX0-kHA/edit?usp=sharing"",""แผน!AN80"")"),0)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12800</v>
      </c>
      <c r="J216" s="260">
        <f t="shared" si="103"/>
        <v>0</v>
      </c>
      <c r="K216" s="261">
        <f t="shared" ca="1" si="102"/>
        <v>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17100</v>
      </c>
      <c r="M217" s="154"/>
      <c r="N217" s="154">
        <f>N218+N219+N220</f>
        <v>10240</v>
      </c>
      <c r="O217" s="154">
        <f ca="1">IF(L217&gt;0,N217*100/L217,0)</f>
        <v>59.883040935672511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IFERROR(__xludf.DUMMYFUNCTION("IMPORTRANGE(""https://docs.google.com/spreadsheets/d/1QqKyyYR6Q21VydFLVH3TRQUabQu_ym0Zz7PgGX0-kHA/edit?usp=sharing"",""แผน!AP80"")"),3000)</f>
        <v>3000</v>
      </c>
      <c r="M218" s="38"/>
      <c r="N218" s="270">
        <v>240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IFERROR(__xludf.DUMMYFUNCTION("IMPORTRANGE(""https://docs.google.com/spreadsheets/d/1QqKyyYR6Q21VydFLVH3TRQUabQu_ym0Zz7PgGX0-kHA/edit?usp=sharing"",""แผน!AQ80"")"),4100)</f>
        <v>4100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IFERROR(__xludf.DUMMYFUNCTION("IMPORTRANGE(""https://docs.google.com/spreadsheets/d/1QqKyyYR6Q21VydFLVH3TRQUabQu_ym0Zz7PgGX0-kHA/edit?usp=sharing"",""แผน!AR80"")"),10000)</f>
        <v>10000</v>
      </c>
      <c r="M220" s="38"/>
      <c r="N220" s="270">
        <v>10000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IFERROR(__xludf.DUMMYFUNCTION("IMPORTRANGE(""https://docs.google.com/spreadsheets/d/1QqKyyYR6Q21VydFLVH3TRQUabQu_ym0Zz7PgGX0-kHA/edit?usp=sharing"",""แผน!AT80"")"),12800)</f>
        <v>12800</v>
      </c>
      <c r="J223" s="181">
        <v>0</v>
      </c>
      <c r="K223" s="162">
        <f t="shared" ref="K223:K226" ca="1" si="104">IF(I223&gt;0,J223*100/I223,0)</f>
        <v>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IFERROR(__xludf.DUMMYFUNCTION("IMPORTRANGE(""https://docs.google.com/spreadsheets/d/1QqKyyYR6Q21VydFLVH3TRQUabQu_ym0Zz7PgGX0-kHA/edit?usp=sharing"",""แผน!AT80"")"),12800)</f>
        <v>12800</v>
      </c>
      <c r="J224" s="181">
        <v>0</v>
      </c>
      <c r="K224" s="162">
        <f t="shared" ca="1" si="10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IFERROR(__xludf.DUMMYFUNCTION("IMPORTRANGE(""https://docs.google.com/spreadsheets/d/1QqKyyYR6Q21VydFLVH3TRQUabQu_ym0Zz7PgGX0-kHA/edit?usp=sharing"",""แผน!AS80"")"),10)</f>
        <v>10</v>
      </c>
      <c r="J225" s="181">
        <v>10</v>
      </c>
      <c r="K225" s="162">
        <f t="shared" ca="1" si="10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IFERROR(__xludf.DUMMYFUNCTION("IMPORTRANGE(""https://docs.google.com/spreadsheets/d/1QqKyyYR6Q21VydFLVH3TRQUabQu_ym0Zz7PgGX0-kHA/edit?usp=sharing"",""แผน!AV80"")"),0)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IFERROR(__xludf.DUMMYFUNCTION("IMPORTRANGE(""https://docs.google.com/spreadsheets/d/1QqKyyYR6Q21VydFLVH3TRQUabQu_ym0Zz7PgGX0-kHA/edit?usp=sharing"",""แผน!AW80"")"),0)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IFERROR(__xludf.DUMMYFUNCTION("IMPORTRANGE(""https://docs.google.com/spreadsheets/d/1QqKyyYR6Q21VydFLVH3TRQUabQu_ym0Zz7PgGX0-kHA/edit?usp=sharing"",""แผน!AX80"")"),0)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IFERROR(__xludf.DUMMYFUNCTION("IMPORTRANGE(""https://docs.google.com/spreadsheets/d/1QqKyyYR6Q21VydFLVH3TRQUabQu_ym0Zz7PgGX0-kHA/edit?usp=sharing"",""แผน!AY80"")"),0)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IFERROR(__xludf.DUMMYFUNCTION("IMPORTRANGE(""https://docs.google.com/spreadsheets/d/1QqKyyYR6Q21VydFLVH3TRQUabQu_ym0Zz7PgGX0-kHA/edit?usp=sharing"",""แผน!BE80"")"),0)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IFERROR(__xludf.DUMMYFUNCTION("IMPORTRANGE(""https://docs.google.com/spreadsheets/d/1QqKyyYR6Q21VydFLVH3TRQUabQu_ym0Zz7PgGX0-kHA/edit?usp=sharing"",""แผน!AZ80"")"),0)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IFERROR(__xludf.DUMMYFUNCTION("IMPORTRANGE(""https://docs.google.com/spreadsheets/d/1QqKyyYR6Q21VydFLVH3TRQUabQu_ym0Zz7PgGX0-kHA/edit?usp=sharing"",""แผน!BA80"")"),0)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IFERROR(__xludf.DUMMYFUNCTION("IMPORTRANGE(""https://docs.google.com/spreadsheets/d/1QqKyyYR6Q21VydFLVH3TRQUabQu_ym0Zz7PgGX0-kHA/edit?usp=sharing"",""แผน!BB80"")"),0)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IFERROR(__xludf.DUMMYFUNCTION("IMPORTRANGE(""https://docs.google.com/spreadsheets/d/1QqKyyYR6Q21VydFLVH3TRQUabQu_ym0Zz7PgGX0-kHA/edit?usp=sharing"",""แผน!BC80"")"),0)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IFERROR(__xludf.DUMMYFUNCTION("IMPORTRANGE(""https://docs.google.com/spreadsheets/d/1QqKyyYR6Q21VydFLVH3TRQUabQu_ym0Zz7PgGX0-kHA/edit?usp=sharing"",""แผน!BF80"")"),0)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20</v>
      </c>
      <c r="J260" s="242">
        <f t="shared" si="115"/>
        <v>0</v>
      </c>
      <c r="K260" s="243">
        <f ca="1">IF(I260&gt;0,J260*100/I260,0)</f>
        <v>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25000</v>
      </c>
      <c r="M261" s="154">
        <f t="shared" ca="1" si="116"/>
        <v>25000</v>
      </c>
      <c r="N261" s="154">
        <f t="shared" ca="1" si="116"/>
        <v>12300</v>
      </c>
      <c r="O261" s="154">
        <f t="shared" ref="O261:O269" ca="1" si="117">IF(L261&gt;0,N261*100/L261,0)</f>
        <v>49.2</v>
      </c>
      <c r="P261" s="154">
        <f t="shared" ref="P261:P269" ca="1" si="118">IF(M261&gt;0,N261*100/M261,0)</f>
        <v>49.2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25000</v>
      </c>
      <c r="M263" s="45">
        <f t="shared" ca="1" si="119"/>
        <v>25000</v>
      </c>
      <c r="N263" s="45">
        <f t="shared" ca="1" si="119"/>
        <v>12300</v>
      </c>
      <c r="O263" s="45">
        <f t="shared" ca="1" si="117"/>
        <v>49.2</v>
      </c>
      <c r="P263" s="45">
        <f t="shared" ca="1" si="118"/>
        <v>49.2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25000</v>
      </c>
      <c r="M264" s="38">
        <f t="shared" ca="1" si="120"/>
        <v>25000</v>
      </c>
      <c r="N264" s="38">
        <f t="shared" ca="1" si="120"/>
        <v>12300</v>
      </c>
      <c r="O264" s="38">
        <f t="shared" ca="1" si="117"/>
        <v>49.2</v>
      </c>
      <c r="P264" s="38">
        <f t="shared" ca="1" si="118"/>
        <v>49.2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IFERROR(__xludf.DUMMYFUNCTION("IMPORTRANGE(""https://docs.google.com/spreadsheets/d/1MeEWN-I1oV_STSDYn1IFDPWt_1FKiwhDph83XaGc0o0/edit?usp=sharing"",""งบพรบ!CY80"")"),25000)</f>
        <v>25000</v>
      </c>
      <c r="M266" s="45">
        <f ca="1">IFERROR(__xludf.DUMMYFUNCTION("IMPORTRANGE(""https://docs.google.com/spreadsheets/d/1MeEWN-I1oV_STSDYn1IFDPWt_1FKiwhDph83XaGc0o0/edit?usp=sharing"",""งบพรบ!DD80"")"),25000)</f>
        <v>25000</v>
      </c>
      <c r="N266" s="45">
        <f ca="1">IFERROR(__xludf.DUMMYFUNCTION("IMPORTRANGE(""https://docs.google.com/spreadsheets/d/1MeEWN-I1oV_STSDYn1IFDPWt_1FKiwhDph83XaGc0o0/edit?usp=sharing"",""งบพรบ!DF80"")"),12300)</f>
        <v>12300</v>
      </c>
      <c r="O266" s="45">
        <f t="shared" ca="1" si="117"/>
        <v>49.2</v>
      </c>
      <c r="P266" s="45">
        <f t="shared" ca="1" si="118"/>
        <v>49.2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IFERROR(__xludf.DUMMYFUNCTION("IMPORTRANGE(""https://docs.google.com/spreadsheets/d/1MeEWN-I1oV_STSDYn1IFDPWt_1FKiwhDph83XaGc0o0/edit?usp=sharing"",""งบพรบ!DB80"")"),0)</f>
        <v>0</v>
      </c>
      <c r="M269" s="45">
        <f ca="1">IFERROR(__xludf.DUMMYFUNCTION("IMPORTRANGE(""https://docs.google.com/spreadsheets/d/1MeEWN-I1oV_STSDYn1IFDPWt_1FKiwhDph83XaGc0o0/edit?usp=sharing"",""งบพรบ!DE80"")"),0)</f>
        <v>0</v>
      </c>
      <c r="N269" s="45">
        <f ca="1">IFERROR(__xludf.DUMMYFUNCTION("IMPORTRANGE(""https://docs.google.com/spreadsheets/d/1MeEWN-I1oV_STSDYn1IFDPWt_1FKiwhDph83XaGc0o0/edit?usp=sharing"",""งบพรบ!DG80"")"),0)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IFERROR(__xludf.DUMMYFUNCTION("IMPORTRANGE(""https://docs.google.com/spreadsheets/d/1QqKyyYR6Q21VydFLVH3TRQUabQu_ym0Zz7PgGX0-kHA/edit?usp=sharing"",""แผน!EA80"")"),20)</f>
        <v>20</v>
      </c>
      <c r="J271" s="181">
        <v>0</v>
      </c>
      <c r="K271" s="162">
        <f ca="1">IF(I271&gt;0,J271*100/I271,0)</f>
        <v>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4">I287</f>
        <v>0</v>
      </c>
      <c r="J276" s="39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IFERROR(__xludf.DUMMYFUNCTION("IMPORTRANGE(""https://docs.google.com/spreadsheets/d/1MeEWN-I1oV_STSDYn1IFDPWt_1FKiwhDph83XaGc0o0/edit?usp=sharing"",""งบพรบ!DI80"")"),0)</f>
        <v>0</v>
      </c>
      <c r="M282" s="45">
        <f ca="1">IFERROR(__xludf.DUMMYFUNCTION("IMPORTRANGE(""https://docs.google.com/spreadsheets/d/1MeEWN-I1oV_STSDYn1IFDPWt_1FKiwhDph83XaGc0o0/edit?usp=sharing"",""งบพรบ!DN80"")"),0)</f>
        <v>0</v>
      </c>
      <c r="N282" s="45">
        <f ca="1">IFERROR(__xludf.DUMMYFUNCTION("IMPORTRANGE(""https://docs.google.com/spreadsheets/d/1MeEWN-I1oV_STSDYn1IFDPWt_1FKiwhDph83XaGc0o0/edit?usp=sharing"",""งบพรบ!DP80"")"),0)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IFERROR(__xludf.DUMMYFUNCTION("IMPORTRANGE(""https://docs.google.com/spreadsheets/d/1MeEWN-I1oV_STSDYn1IFDPWt_1FKiwhDph83XaGc0o0/edit?usp=sharing"",""งบพรบ!DL80"")"),0)</f>
        <v>0</v>
      </c>
      <c r="M285" s="45">
        <f ca="1">IFERROR(__xludf.DUMMYFUNCTION("IMPORTRANGE(""https://docs.google.com/spreadsheets/d/1MeEWN-I1oV_STSDYn1IFDPWt_1FKiwhDph83XaGc0o0/edit?usp=sharing"",""งบพรบ!DO80"")"),0)</f>
        <v>0</v>
      </c>
      <c r="N285" s="45">
        <f ca="1">IFERROR(__xludf.DUMMYFUNCTION("IMPORTRANGE(""https://docs.google.com/spreadsheets/d/1MeEWN-I1oV_STSDYn1IFDPWt_1FKiwhDph83XaGc0o0/edit?usp=sharing"",""งบพรบ!DQ80"")"),0)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IFERROR(__xludf.DUMMYFUNCTION("IMPORTRANGE(""https://docs.google.com/spreadsheets/d/1QqKyyYR6Q21VydFLVH3TRQUabQu_ym0Zz7PgGX0-kHA/edit?usp=sharing"",""แผน!EC80"")"),0)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IFERROR(__xludf.DUMMYFUNCTION("IMPORTRANGE(""https://docs.google.com/spreadsheets/d/1QqKyyYR6Q21VydFLVH3TRQUabQu_ym0Zz7PgGX0-kHA/edit?usp=sharing"",""แผน!EB80"")"),0)</f>
        <v>0</v>
      </c>
      <c r="J288" s="190">
        <f ca="1">IF(AND(J291&gt;=I288,J294&gt;=I288),J294,0)</f>
        <v>0</v>
      </c>
      <c r="K288" s="391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IFERROR(__xludf.DUMMYFUNCTION("IMPORTRANGE(""https://docs.google.com/spreadsheets/d/1QqKyyYR6Q21VydFLVH3TRQUabQu_ym0Zz7PgGX0-kHA/edit?usp=sharing"",""แผน!EB80"")"),0)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337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IFERROR(__xludf.DUMMYFUNCTION("IMPORTRANGE(""https://docs.google.com/spreadsheets/d/1QqKyyYR6Q21VydFLVH3TRQUabQu_ym0Zz7PgGX0-kHA/edit?usp=sharing"",""แผน!EB80"")"),0)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IFERROR(__xludf.DUMMYFUNCTION("IMPORTRANGE(""https://docs.google.com/spreadsheets/d/1QqKyyYR6Q21VydFLVH3TRQUabQu_ym0Zz7PgGX0-kHA/edit?usp=sharing"",""แผน!EB80"")"),0)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9" t="s">
        <v>337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IFERROR(__xludf.DUMMYFUNCTION("IMPORTRANGE(""https://docs.google.com/spreadsheets/d/1QqKyyYR6Q21VydFLVH3TRQUabQu_ym0Zz7PgGX0-kHA/edit?usp=sharing"",""แผน!EB80"")"),0)</f>
        <v>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IFERROR(__xludf.DUMMYFUNCTION("IMPORTRANGE(""https://docs.google.com/spreadsheets/d/1MeEWN-I1oV_STSDYn1IFDPWt_1FKiwhDph83XaGc0o0/edit?usp=sharing"",""งบพรบ!DS80"")"),0)</f>
        <v>0</v>
      </c>
      <c r="M303" s="45">
        <f ca="1">IFERROR(__xludf.DUMMYFUNCTION("IMPORTRANGE(""https://docs.google.com/spreadsheets/d/1MeEWN-I1oV_STSDYn1IFDPWt_1FKiwhDph83XaGc0o0/edit?usp=sharing"",""งบพรบ!DX80"")"),0)</f>
        <v>0</v>
      </c>
      <c r="N303" s="45">
        <f ca="1">IFERROR(__xludf.DUMMYFUNCTION("IMPORTRANGE(""https://docs.google.com/spreadsheets/d/1MeEWN-I1oV_STSDYn1IFDPWt_1FKiwhDph83XaGc0o0/edit?usp=sharing"",""งบพรบ!DZ80"")"),0)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IFERROR(__xludf.DUMMYFUNCTION("IMPORTRANGE(""https://docs.google.com/spreadsheets/d/1MeEWN-I1oV_STSDYn1IFDPWt_1FKiwhDph83XaGc0o0/edit?usp=sharing"",""งบพรบ!DV80"")"),0)</f>
        <v>0</v>
      </c>
      <c r="M306" s="45">
        <f ca="1">IFERROR(__xludf.DUMMYFUNCTION("IMPORTRANGE(""https://docs.google.com/spreadsheets/d/1MeEWN-I1oV_STSDYn1IFDPWt_1FKiwhDph83XaGc0o0/edit?usp=sharing"",""งบพรบ!DY80"")"),0)</f>
        <v>0</v>
      </c>
      <c r="N306" s="45">
        <f ca="1">IFERROR(__xludf.DUMMYFUNCTION("IMPORTRANGE(""https://docs.google.com/spreadsheets/d/1MeEWN-I1oV_STSDYn1IFDPWt_1FKiwhDph83XaGc0o0/edit?usp=sharing"",""งบพรบ!EA80"")"),0)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IFERROR(__xludf.DUMMYFUNCTION("IMPORTRANGE(""https://docs.google.com/spreadsheets/d/1QqKyyYR6Q21VydFLVH3TRQUabQu_ym0Zz7PgGX0-kHA/edit?usp=sharing"",""แผน!ED80"")"),0)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IFERROR(__xludf.DUMMYFUNCTION("IMPORTRANGE(""https://docs.google.com/spreadsheets/d/1QqKyyYR6Q21VydFLVH3TRQUabQu_ym0Zz7PgGX0-kHA/edit?usp=sharing"",""แผน!ED80"")"),0)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IFERROR(__xludf.DUMMYFUNCTION("IMPORTRANGE(""https://docs.google.com/spreadsheets/d/1QqKyyYR6Q21VydFLVH3TRQUabQu_ym0Zz7PgGX0-kHA/edit?usp=sharing"",""แผน!ED80"")"),0)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IFERROR(__xludf.DUMMYFUNCTION("IMPORTRANGE(""https://docs.google.com/spreadsheets/d/1QqKyyYR6Q21VydFLVH3TRQUabQu_ym0Zz7PgGX0-kHA/edit?usp=sharing"",""แผน!EE80"")"),0)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IFERROR(__xludf.DUMMYFUNCTION("IMPORTRANGE(""https://docs.google.com/spreadsheets/d/1MeEWN-I1oV_STSDYn1IFDPWt_1FKiwhDph83XaGc0o0/edit?usp=sharing"",""งบพรบ!EC80"")"),0)</f>
        <v>0</v>
      </c>
      <c r="M320" s="45">
        <f ca="1">IFERROR(__xludf.DUMMYFUNCTION("IMPORTRANGE(""https://docs.google.com/spreadsheets/d/1MeEWN-I1oV_STSDYn1IFDPWt_1FKiwhDph83XaGc0o0/edit?usp=sharing"",""งบพรบ!EH80"")"),0)</f>
        <v>0</v>
      </c>
      <c r="N320" s="45">
        <f ca="1">IFERROR(__xludf.DUMMYFUNCTION("IMPORTRANGE(""https://docs.google.com/spreadsheets/d/1MeEWN-I1oV_STSDYn1IFDPWt_1FKiwhDph83XaGc0o0/edit?usp=sharing"",""งบพรบ!EJ80"")"),0)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IFERROR(__xludf.DUMMYFUNCTION("IMPORTRANGE(""https://docs.google.com/spreadsheets/d/1MeEWN-I1oV_STSDYn1IFDPWt_1FKiwhDph83XaGc0o0/edit?usp=sharing"",""งบพรบ!EF80"")"),0)</f>
        <v>0</v>
      </c>
      <c r="M323" s="45">
        <f ca="1">IFERROR(__xludf.DUMMYFUNCTION("IMPORTRANGE(""https://docs.google.com/spreadsheets/d/1MeEWN-I1oV_STSDYn1IFDPWt_1FKiwhDph83XaGc0o0/edit?usp=sharing"",""งบพรบ!EI80"")"),0)</f>
        <v>0</v>
      </c>
      <c r="N323" s="45">
        <f ca="1">IFERROR(__xludf.DUMMYFUNCTION("IMPORTRANGE(""https://docs.google.com/spreadsheets/d/1MeEWN-I1oV_STSDYn1IFDPWt_1FKiwhDph83XaGc0o0/edit?usp=sharing"",""งบพรบ!EK80"")"),0)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IFERROR(__xludf.DUMMYFUNCTION("IMPORTRANGE(""https://docs.google.com/spreadsheets/d/1QqKyyYR6Q21VydFLVH3TRQUabQu_ym0Zz7PgGX0-kHA/edit?usp=sharing"",""แผน!EF80"")"),0)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IFERROR(__xludf.DUMMYFUNCTION("IMPORTRANGE(""https://docs.google.com/spreadsheets/d/1QqKyyYR6Q21VydFLVH3TRQUabQu_ym0Zz7PgGX0-kHA/edit?usp=sharing"",""แผน!EG80"")"),300)</f>
        <v>300</v>
      </c>
      <c r="J327" s="421">
        <f ca="1">J338+J341+J342+J343</f>
        <v>499</v>
      </c>
      <c r="K327" s="422">
        <f ca="1">IF(I327&gt;0,J327*100/I327,0)</f>
        <v>166.33333333333334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157000</v>
      </c>
      <c r="M328" s="154">
        <f t="shared" ca="1" si="149"/>
        <v>159500</v>
      </c>
      <c r="N328" s="154">
        <f t="shared" ca="1" si="149"/>
        <v>83689</v>
      </c>
      <c r="O328" s="154">
        <f t="shared" ref="O328:O336" ca="1" si="150">IF(L328&gt;0,N328*100/L328,0)</f>
        <v>53.305095541401272</v>
      </c>
      <c r="P328" s="154">
        <f t="shared" ref="P328:P336" ca="1" si="151">IF(M328&gt;0,N328*100/M328,0)</f>
        <v>52.469592476489026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157000</v>
      </c>
      <c r="M330" s="45">
        <f t="shared" ca="1" si="152"/>
        <v>159500</v>
      </c>
      <c r="N330" s="45">
        <f t="shared" ca="1" si="152"/>
        <v>83689</v>
      </c>
      <c r="O330" s="45">
        <f t="shared" ca="1" si="150"/>
        <v>53.305095541401272</v>
      </c>
      <c r="P330" s="45">
        <f t="shared" ca="1" si="151"/>
        <v>52.469592476489026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157000</v>
      </c>
      <c r="M331" s="38">
        <f t="shared" ca="1" si="153"/>
        <v>159500</v>
      </c>
      <c r="N331" s="38">
        <f t="shared" ca="1" si="153"/>
        <v>83689</v>
      </c>
      <c r="O331" s="38">
        <f t="shared" ca="1" si="150"/>
        <v>53.305095541401272</v>
      </c>
      <c r="P331" s="38">
        <f t="shared" ca="1" si="151"/>
        <v>52.469592476489026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IFERROR(__xludf.DUMMYFUNCTION("IMPORTRANGE(""https://docs.google.com/spreadsheets/d/1MeEWN-I1oV_STSDYn1IFDPWt_1FKiwhDph83XaGc0o0/edit?usp=sharing"",""งบพรบ!EM80"")"),157000)</f>
        <v>157000</v>
      </c>
      <c r="M333" s="45">
        <f ca="1">IFERROR(__xludf.DUMMYFUNCTION("IMPORTRANGE(""https://docs.google.com/spreadsheets/d/1MeEWN-I1oV_STSDYn1IFDPWt_1FKiwhDph83XaGc0o0/edit?usp=sharing"",""งบพรบ!ER80"")"),159500)</f>
        <v>159500</v>
      </c>
      <c r="N333" s="45">
        <f ca="1">IFERROR(__xludf.DUMMYFUNCTION("IMPORTRANGE(""https://docs.google.com/spreadsheets/d/1MeEWN-I1oV_STSDYn1IFDPWt_1FKiwhDph83XaGc0o0/edit?usp=sharing"",""งบพรบ!ET80"")"),83689)</f>
        <v>83689</v>
      </c>
      <c r="O333" s="45">
        <f t="shared" ca="1" si="150"/>
        <v>53.305095541401272</v>
      </c>
      <c r="P333" s="45">
        <f t="shared" ca="1" si="151"/>
        <v>52.469592476489026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IFERROR(__xludf.DUMMYFUNCTION("IMPORTRANGE(""https://docs.google.com/spreadsheets/d/1MeEWN-I1oV_STSDYn1IFDPWt_1FKiwhDph83XaGc0o0/edit?usp=sharing"",""งบพรบ!EP80"")"),0)</f>
        <v>0</v>
      </c>
      <c r="M336" s="45">
        <f ca="1">IFERROR(__xludf.DUMMYFUNCTION("IMPORTRANGE(""https://docs.google.com/spreadsheets/d/1MeEWN-I1oV_STSDYn1IFDPWt_1FKiwhDph83XaGc0o0/edit?usp=sharing"",""งบพรบ!ES80"")"),0)</f>
        <v>0</v>
      </c>
      <c r="N336" s="45">
        <f ca="1">IFERROR(__xludf.DUMMYFUNCTION("IMPORTRANGE(""https://docs.google.com/spreadsheets/d/1MeEWN-I1oV_STSDYn1IFDPWt_1FKiwhDph83XaGc0o0/edit?usp=sharing"",""งบพรบ!EU80"")"),0)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IFERROR(__xludf.DUMMYFUNCTION("IMPORTRANGE(""https://docs.google.com/spreadsheets/d/1QqKyyYR6Q21VydFLVH3TRQUabQu_ym0Zz7PgGX0-kHA/edit?usp=sharing"",""แผน!EG80"")"),300)</f>
        <v>300</v>
      </c>
      <c r="J338" s="37">
        <f ca="1">IFERROR(__xludf.DUMMYFUNCTION("IMPORTRANGE(""https://docs.google.com/spreadsheets/d/1kVcqe37tkHyjCSG3S0O1AXqVkqjo8mSIZil3BcpIysc/edit?usp=sharing"",""ศูนย์!D80"")"),420)</f>
        <v>420</v>
      </c>
      <c r="K338" s="38">
        <f ca="1">IF(I338&gt;0,J338*100/I338,0)</f>
        <v>140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IFERROR(__xludf.DUMMYFUNCTION("IMPORTRANGE(""https://docs.google.com/spreadsheets/d/1QqKyyYR6Q21VydFLVH3TRQUabQu_ym0Zz7PgGX0-kHA/edit?usp=sharing"",""แผน!EH80"")"),2)</f>
        <v>2</v>
      </c>
      <c r="J340" s="37">
        <f ca="1">IFERROR(__xludf.DUMMYFUNCTION("IMPORTRANGE(""https://docs.google.com/spreadsheets/d/1kVcqe37tkHyjCSG3S0O1AXqVkqjo8mSIZil3BcpIysc/edit?usp=sharing"",""ศูนย์!E80"")"),2)</f>
        <v>2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IFERROR(__xludf.DUMMYFUNCTION("IMPORTRANGE(""https://docs.google.com/spreadsheets/d/1kVcqe37tkHyjCSG3S0O1AXqVkqjo8mSIZil3BcpIysc/edit?usp=sharing"",""ศูนย์!F80"")"),69)</f>
        <v>69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IFERROR(__xludf.DUMMYFUNCTION("IMPORTRANGE(""https://docs.google.com/spreadsheets/d/1kVcqe37tkHyjCSG3S0O1AXqVkqjo8mSIZil3BcpIysc/edit?usp=sharing"",""ศูนย์!G80"")"),0)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IFERROR(__xludf.DUMMYFUNCTION("IMPORTRANGE(""https://docs.google.com/spreadsheets/d/1kVcqe37tkHyjCSG3S0O1AXqVkqjo8mSIZil3BcpIysc/edit?usp=sharing"",""ศูนย์!H80"")"),10)</f>
        <v>10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836060</v>
      </c>
      <c r="M345" s="154">
        <f t="shared" ca="1" si="155"/>
        <v>896060</v>
      </c>
      <c r="N345" s="154">
        <f t="shared" ca="1" si="155"/>
        <v>732242.43</v>
      </c>
      <c r="O345" s="154">
        <f t="shared" ref="O345:O353" ca="1" si="156">IF(L345&gt;0,N345*100/L345,0)</f>
        <v>87.582521589359615</v>
      </c>
      <c r="P345" s="154">
        <f t="shared" ref="P345:P353" ca="1" si="157">IF(M345&gt;0,N345*100/M345,0)</f>
        <v>81.718013302680617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836060</v>
      </c>
      <c r="M347" s="45">
        <f t="shared" ca="1" si="158"/>
        <v>896060</v>
      </c>
      <c r="N347" s="45">
        <f t="shared" ca="1" si="158"/>
        <v>732242.43</v>
      </c>
      <c r="O347" s="45">
        <f t="shared" ca="1" si="156"/>
        <v>87.582521589359615</v>
      </c>
      <c r="P347" s="45">
        <f t="shared" ca="1" si="157"/>
        <v>81.718013302680617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760060</v>
      </c>
      <c r="M348" s="38">
        <f t="shared" ca="1" si="159"/>
        <v>820060</v>
      </c>
      <c r="N348" s="38">
        <f t="shared" ca="1" si="159"/>
        <v>656242.43000000005</v>
      </c>
      <c r="O348" s="38">
        <f t="shared" ca="1" si="156"/>
        <v>86.340871773281066</v>
      </c>
      <c r="P348" s="38">
        <f t="shared" ca="1" si="157"/>
        <v>80.023709240787269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IFERROR(__xludf.DUMMYFUNCTION("IMPORTRANGE(""https://docs.google.com/spreadsheets/d/1MeEWN-I1oV_STSDYn1IFDPWt_1FKiwhDph83XaGc0o0/edit?usp=sharing"",""งบพรบ!EW80"")"),760060)</f>
        <v>760060</v>
      </c>
      <c r="M350" s="45">
        <f ca="1">IFERROR(__xludf.DUMMYFUNCTION("IMPORTRANGE(""https://docs.google.com/spreadsheets/d/1MeEWN-I1oV_STSDYn1IFDPWt_1FKiwhDph83XaGc0o0/edit?usp=sharing"",""งบพรบ!FB80"")"),820060)</f>
        <v>820060</v>
      </c>
      <c r="N350" s="45">
        <f ca="1">IFERROR(__xludf.DUMMYFUNCTION("IMPORTRANGE(""https://docs.google.com/spreadsheets/d/1MeEWN-I1oV_STSDYn1IFDPWt_1FKiwhDph83XaGc0o0/edit?usp=sharing"",""งบพรบ!FD80"")"),656242.43)</f>
        <v>656242.43000000005</v>
      </c>
      <c r="O350" s="45">
        <f t="shared" ca="1" si="156"/>
        <v>86.340871773281066</v>
      </c>
      <c r="P350" s="45">
        <f t="shared" ca="1" si="157"/>
        <v>80.023709240787269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76000</v>
      </c>
      <c r="M351" s="38">
        <f t="shared" ca="1" si="160"/>
        <v>76000</v>
      </c>
      <c r="N351" s="38">
        <f t="shared" ca="1" si="160"/>
        <v>76000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IFERROR(__xludf.DUMMYFUNCTION("IMPORTRANGE(""https://docs.google.com/spreadsheets/d/1MeEWN-I1oV_STSDYn1IFDPWt_1FKiwhDph83XaGc0o0/edit?usp=sharing"",""งบพรบ!EZ80"")"),76000)</f>
        <v>76000</v>
      </c>
      <c r="M353" s="45">
        <f ca="1">IFERROR(__xludf.DUMMYFUNCTION("IMPORTRANGE(""https://docs.google.com/spreadsheets/d/1MeEWN-I1oV_STSDYn1IFDPWt_1FKiwhDph83XaGc0o0/edit?usp=sharing"",""งบพรบ!FC80"")"),76000)</f>
        <v>76000</v>
      </c>
      <c r="N353" s="45">
        <f ca="1">IFERROR(__xludf.DUMMYFUNCTION("IMPORTRANGE(""https://docs.google.com/spreadsheets/d/1MeEWN-I1oV_STSDYn1IFDPWt_1FKiwhDph83XaGc0o0/edit?usp=sharing"",""งบพรบ!FE80"")"),76000)</f>
        <v>76000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IFERROR(__xludf.DUMMYFUNCTION("IMPORTRANGE(""https://docs.google.com/spreadsheets/d/1QqKyyYR6Q21VydFLVH3TRQUabQu_ym0Zz7PgGX0-kHA/edit?usp=sharing"",""แผน!EP80"")"),84)</f>
        <v>84</v>
      </c>
      <c r="J355" s="438">
        <f ca="1">J362</f>
        <v>56</v>
      </c>
      <c r="K355" s="439">
        <f ca="1">IF(I355&gt;0,J355*100/I355,0)</f>
        <v>66.666666666666671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IFERROR(__xludf.DUMMYFUNCTION("IMPORTRANGE(""https://docs.google.com/spreadsheets/d/1XWAQStnk-4SwqDmLtmXYiTMKHgktTP8We1SCoS47DrQ/edit?usp=sharing"",""จัดที่ดิน!W80"")"),71)</f>
        <v>71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IFERROR(__xludf.DUMMYFUNCTION("IMPORTRANGE(""https://docs.google.com/spreadsheets/d/1QqKyyYR6Q21VydFLVH3TRQUabQu_ym0Zz7PgGX0-kHA/edit?usp=sharing"",""แผน!EO80"")"),400)</f>
        <v>400</v>
      </c>
      <c r="J359" s="37">
        <f ca="1">IFERROR(__xludf.DUMMYFUNCTION("IMPORTRANGE(""https://docs.google.com/spreadsheets/d/1XWAQStnk-4SwqDmLtmXYiTMKHgktTP8We1SCoS47DrQ/edit?usp=sharing"",""จัดที่ดิน!X80"")"),324.58)</f>
        <v>324.58</v>
      </c>
      <c r="K359" s="38">
        <f t="shared" ca="1" si="161"/>
        <v>81.144999999999996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IFERROR(__xludf.DUMMYFUNCTION("IMPORTRANGE(""https://docs.google.com/spreadsheets/d/1QqKyyYR6Q21VydFLVH3TRQUabQu_ym0Zz7PgGX0-kHA/edit?usp=sharing"",""แผน!EP80"")"),84)</f>
        <v>84</v>
      </c>
      <c r="J360" s="37">
        <f ca="1">IFERROR(__xludf.DUMMYFUNCTION("IMPORTRANGE(""https://docs.google.com/spreadsheets/d/1XWAQStnk-4SwqDmLtmXYiTMKHgktTP8We1SCoS47DrQ/edit?usp=sharing"",""จัดที่ดิน!Y80"")"),71)</f>
        <v>71</v>
      </c>
      <c r="K360" s="38">
        <f t="shared" ca="1" si="161"/>
        <v>84.523809523809518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IFERROR(__xludf.DUMMYFUNCTION("IMPORTRANGE(""https://docs.google.com/spreadsheets/d/1XWAQStnk-4SwqDmLtmXYiTMKHgktTP8We1SCoS47DrQ/edit?usp=sharing"",""จัดที่ดิน!Z80"")"),324.58)</f>
        <v>324.58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IFERROR(__xludf.DUMMYFUNCTION("IMPORTRANGE(""https://docs.google.com/spreadsheets/d/1QqKyyYR6Q21VydFLVH3TRQUabQu_ym0Zz7PgGX0-kHA/edit?usp=sharing"",""แผน!EP80"")"),84)</f>
        <v>84</v>
      </c>
      <c r="J362" s="37">
        <f ca="1">IFERROR(__xludf.DUMMYFUNCTION("IMPORTRANGE(""https://docs.google.com/spreadsheets/d/1XWAQStnk-4SwqDmLtmXYiTMKHgktTP8We1SCoS47DrQ/edit?usp=sharing"",""จัดที่ดิน!AA80"")"),56)</f>
        <v>56</v>
      </c>
      <c r="K362" s="38">
        <f t="shared" ca="1" si="161"/>
        <v>66.666666666666671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IFERROR(__xludf.DUMMYFUNCTION("IMPORTRANGE(""https://docs.google.com/spreadsheets/d/1XWAQStnk-4SwqDmLtmXYiTMKHgktTP8We1SCoS47DrQ/edit?usp=sharing"",""จัดที่ดิน!AB80"")"),274.47)</f>
        <v>274.47000000000003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134</v>
      </c>
      <c r="J364" s="452">
        <f t="shared" ca="1" si="162"/>
        <v>108</v>
      </c>
      <c r="K364" s="453">
        <f t="shared" ca="1" si="161"/>
        <v>80.597014925373131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IFERROR(__xludf.DUMMYFUNCTION("IMPORTRANGE(""https://docs.google.com/spreadsheets/d/1QqKyyYR6Q21VydFLVH3TRQUabQu_ym0Zz7PgGX0-kHA/edit?usp=sharing"",""แผน!EJ80"")"),30)</f>
        <v>30</v>
      </c>
      <c r="J365" s="462">
        <f ca="1">J372</f>
        <v>40</v>
      </c>
      <c r="K365" s="463">
        <f t="shared" ca="1" si="161"/>
        <v>133.33333333333334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IFERROR(__xludf.DUMMYFUNCTION("IMPORTRANGE(""https://docs.google.com/spreadsheets/d/1XWAQStnk-4SwqDmLtmXYiTMKHgktTP8We1SCoS47DrQ/edit?usp=sharing"",""จัดที่ดิน!E80"")"),41)</f>
        <v>41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IFERROR(__xludf.DUMMYFUNCTION("IMPORTRANGE(""https://docs.google.com/spreadsheets/d/1QqKyyYR6Q21VydFLVH3TRQUabQu_ym0Zz7PgGX0-kHA/edit?usp=sharing"",""แผน!EI80"")"),200)</f>
        <v>200</v>
      </c>
      <c r="J369" s="37">
        <f ca="1">IFERROR(__xludf.DUMMYFUNCTION("IMPORTRANGE(""https://docs.google.com/spreadsheets/d/1XWAQStnk-4SwqDmLtmXYiTMKHgktTP8We1SCoS47DrQ/edit?usp=sharing"",""จัดที่ดิน!F80"")"),203.85)</f>
        <v>203.85</v>
      </c>
      <c r="K369" s="38">
        <f t="shared" ca="1" si="163"/>
        <v>101.925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IFERROR(__xludf.DUMMYFUNCTION("IMPORTRANGE(""https://docs.google.com/spreadsheets/d/1QqKyyYR6Q21VydFLVH3TRQUabQu_ym0Zz7PgGX0-kHA/edit?usp=sharing"",""แผน!EJ80"")"),30)</f>
        <v>30</v>
      </c>
      <c r="J370" s="37">
        <f ca="1">IFERROR(__xludf.DUMMYFUNCTION("IMPORTRANGE(""https://docs.google.com/spreadsheets/d/1XWAQStnk-4SwqDmLtmXYiTMKHgktTP8We1SCoS47DrQ/edit?usp=sharing"",""จัดที่ดิน!G80"")"),41)</f>
        <v>41</v>
      </c>
      <c r="K370" s="38">
        <f t="shared" ca="1" si="163"/>
        <v>136.66666666666666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IFERROR(__xludf.DUMMYFUNCTION("IMPORTRANGE(""https://docs.google.com/spreadsheets/d/1XWAQStnk-4SwqDmLtmXYiTMKHgktTP8We1SCoS47DrQ/edit?usp=sharing"",""จัดที่ดิน!H80"")"),203.85)</f>
        <v>203.85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IFERROR(__xludf.DUMMYFUNCTION("IMPORTRANGE(""https://docs.google.com/spreadsheets/d/1QqKyyYR6Q21VydFLVH3TRQUabQu_ym0Zz7PgGX0-kHA/edit?usp=sharing"",""แผน!EJ80"")"),30)</f>
        <v>30</v>
      </c>
      <c r="J372" s="37">
        <f ca="1">IFERROR(__xludf.DUMMYFUNCTION("IMPORTRANGE(""https://docs.google.com/spreadsheets/d/1XWAQStnk-4SwqDmLtmXYiTMKHgktTP8We1SCoS47DrQ/edit?usp=sharing"",""จัดที่ดิน!I80"")"),40)</f>
        <v>40</v>
      </c>
      <c r="K372" s="38">
        <f t="shared" ca="1" si="163"/>
        <v>133.33333333333334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IFERROR(__xludf.DUMMYFUNCTION("IMPORTRANGE(""https://docs.google.com/spreadsheets/d/1XWAQStnk-4SwqDmLtmXYiTMKHgktTP8We1SCoS47DrQ/edit?usp=sharing"",""จัดที่ดิน!J80"")"),201.59)</f>
        <v>201.59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IFERROR(__xludf.DUMMYFUNCTION("IMPORTRANGE(""https://docs.google.com/spreadsheets/d/1QqKyyYR6Q21VydFLVH3TRQUabQu_ym0Zz7PgGX0-kHA/edit?usp=sharing"",""แผน!EU80"")"),104)</f>
        <v>104</v>
      </c>
      <c r="J374" s="462">
        <f ca="1">J381</f>
        <v>68</v>
      </c>
      <c r="K374" s="463">
        <f t="shared" ca="1" si="163"/>
        <v>65.384615384615387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IFERROR(__xludf.DUMMYFUNCTION("IMPORTRANGE(""https://docs.google.com/spreadsheets/d/1XWAQStnk-4SwqDmLtmXYiTMKHgktTP8We1SCoS47DrQ/edit?usp=sharing"",""จัดที่ดิน!AH80"")"),30)</f>
        <v>30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IFERROR(__xludf.DUMMYFUNCTION("IMPORTRANGE(""https://docs.google.com/spreadsheets/d/1QqKyyYR6Q21VydFLVH3TRQUabQu_ym0Zz7PgGX0-kHA/edit?usp=sharing"",""แผน!ET80"")"),200)</f>
        <v>200</v>
      </c>
      <c r="J378" s="37">
        <f ca="1">IFERROR(__xludf.DUMMYFUNCTION("IMPORTRANGE(""https://docs.google.com/spreadsheets/d/1XWAQStnk-4SwqDmLtmXYiTMKHgktTP8We1SCoS47DrQ/edit?usp=sharing"",""จัดที่ดิน!AI80"")"),120.73)</f>
        <v>120.73</v>
      </c>
      <c r="K378" s="38">
        <f t="shared" ca="1" si="164"/>
        <v>60.365000000000002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IFERROR(__xludf.DUMMYFUNCTION("IMPORTRANGE(""https://docs.google.com/spreadsheets/d/1QqKyyYR6Q21VydFLVH3TRQUabQu_ym0Zz7PgGX0-kHA/edit?usp=sharing"",""แผน!EU80"")"),104)</f>
        <v>104</v>
      </c>
      <c r="J379" s="37">
        <f ca="1">IFERROR(__xludf.DUMMYFUNCTION("IMPORTRANGE(""https://docs.google.com/spreadsheets/d/1XWAQStnk-4SwqDmLtmXYiTMKHgktTP8We1SCoS47DrQ/edit?usp=sharing"",""จัดที่ดิน!AJ80"")"),82)</f>
        <v>82</v>
      </c>
      <c r="K379" s="38">
        <f t="shared" ca="1" si="164"/>
        <v>78.84615384615384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IFERROR(__xludf.DUMMYFUNCTION("IMPORTRANGE(""https://docs.google.com/spreadsheets/d/1XWAQStnk-4SwqDmLtmXYiTMKHgktTP8We1SCoS47DrQ/edit?usp=sharing"",""จัดที่ดิน!AK80"")"),411.15)</f>
        <v>411.15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IFERROR(__xludf.DUMMYFUNCTION("IMPORTRANGE(""https://docs.google.com/spreadsheets/d/1QqKyyYR6Q21VydFLVH3TRQUabQu_ym0Zz7PgGX0-kHA/edit?usp=sharing"",""แผน!EU80"")"),104)</f>
        <v>104</v>
      </c>
      <c r="J381" s="37">
        <f ca="1">IFERROR(__xludf.DUMMYFUNCTION("IMPORTRANGE(""https://docs.google.com/spreadsheets/d/1XWAQStnk-4SwqDmLtmXYiTMKHgktTP8We1SCoS47DrQ/edit?usp=sharing"",""จัดที่ดิน!AL80"")"),68)</f>
        <v>68</v>
      </c>
      <c r="K381" s="38">
        <f t="shared" ca="1" si="164"/>
        <v>65.384615384615387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IFERROR(__xludf.DUMMYFUNCTION("IMPORTRANGE(""https://docs.google.com/spreadsheets/d/1XWAQStnk-4SwqDmLtmXYiTMKHgktTP8We1SCoS47DrQ/edit?usp=sharing"",""จัดที่ดิน!AM80"")"),363.3)</f>
        <v>363.3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IFERROR(__xludf.DUMMYFUNCTION("IMPORTRANGE(""https://docs.google.com/spreadsheets/d/1QqKyyYR6Q21VydFLVH3TRQUabQu_ym0Zz7PgGX0-kHA/edit?usp=sharing"",""แผน!EW80"")"),0)</f>
        <v>0</v>
      </c>
      <c r="J385" s="365">
        <f ca="1">IFERROR(__xludf.DUMMYFUNCTION("IMPORTRANGE(""https://docs.google.com/spreadsheets/d/1XWAQStnk-4SwqDmLtmXYiTMKHgktTP8We1SCoS47DrQ/edit?usp=sharing"",""จัดที่ดิน!AP80"")"),0)</f>
        <v>0</v>
      </c>
      <c r="K385" s="475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IFERROR(__xludf.DUMMYFUNCTION("IMPORTRANGE(""https://docs.google.com/spreadsheets/d/1MeEWN-I1oV_STSDYn1IFDPWt_1FKiwhDph83XaGc0o0/edit?usp=sharing"",""งบพรบ!FG80"")"),0)</f>
        <v>0</v>
      </c>
      <c r="M394" s="45">
        <f ca="1">IFERROR(__xludf.DUMMYFUNCTION("IMPORTRANGE(""https://docs.google.com/spreadsheets/d/1MeEWN-I1oV_STSDYn1IFDPWt_1FKiwhDph83XaGc0o0/edit?usp=sharing"",""งบพรบ!FL80"")"),0)</f>
        <v>0</v>
      </c>
      <c r="N394" s="45">
        <f ca="1">IFERROR(__xludf.DUMMYFUNCTION("IMPORTRANGE(""https://docs.google.com/spreadsheets/d/1MeEWN-I1oV_STSDYn1IFDPWt_1FKiwhDph83XaGc0o0/edit?usp=sharing"",""งบพรบ!FN80"")"),0)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IFERROR(__xludf.DUMMYFUNCTION("IMPORTRANGE(""https://docs.google.com/spreadsheets/d/1MeEWN-I1oV_STSDYn1IFDPWt_1FKiwhDph83XaGc0o0/edit?usp=sharing"",""งบพรบ!FJ80"")"),0)</f>
        <v>0</v>
      </c>
      <c r="M397" s="45">
        <f ca="1">IFERROR(__xludf.DUMMYFUNCTION("IMPORTRANGE(""https://docs.google.com/spreadsheets/d/1MeEWN-I1oV_STSDYn1IFDPWt_1FKiwhDph83XaGc0o0/edit?usp=sharing"",""งบพรบ!FM80"")"),0)</f>
        <v>0</v>
      </c>
      <c r="N397" s="45">
        <f ca="1">IFERROR(__xludf.DUMMYFUNCTION("IMPORTRANGE(""https://docs.google.com/spreadsheets/d/1MeEWN-I1oV_STSDYn1IFDPWt_1FKiwhDph83XaGc0o0/edit?usp=sharing"",""งบพรบ!FO80"")"),0)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0</v>
      </c>
      <c r="J401" s="495">
        <f t="shared" si="173"/>
        <v>0</v>
      </c>
      <c r="K401" s="496">
        <f t="shared" si="172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IFERROR(__xludf.DUMMYFUNCTION("IMPORTRANGE(""https://docs.google.com/spreadsheets/d/1MeEWN-I1oV_STSDYn1IFDPWt_1FKiwhDph83XaGc0o0/edit?usp=sharing"",""งบพรบ!FQ80"")"),0)</f>
        <v>0</v>
      </c>
      <c r="M407" s="45">
        <f ca="1">IFERROR(__xludf.DUMMYFUNCTION("IMPORTRANGE(""https://docs.google.com/spreadsheets/d/1MeEWN-I1oV_STSDYn1IFDPWt_1FKiwhDph83XaGc0o0/edit?usp=sharing"",""งบพรบ!FV80"")"),0)</f>
        <v>0</v>
      </c>
      <c r="N407" s="45">
        <f ca="1">IFERROR(__xludf.DUMMYFUNCTION("IMPORTRANGE(""https://docs.google.com/spreadsheets/d/1MeEWN-I1oV_STSDYn1IFDPWt_1FKiwhDph83XaGc0o0/edit?usp=sharing"",""งบพรบ!FX80"")"),0)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IFERROR(__xludf.DUMMYFUNCTION("IMPORTRANGE(""https://docs.google.com/spreadsheets/d/1MeEWN-I1oV_STSDYn1IFDPWt_1FKiwhDph83XaGc0o0/edit?usp=sharing"",""งบพรบ!FT80"")"),0)</f>
        <v>0</v>
      </c>
      <c r="M410" s="45">
        <f ca="1">IFERROR(__xludf.DUMMYFUNCTION("IMPORTRANGE(""https://docs.google.com/spreadsheets/d/1MeEWN-I1oV_STSDYn1IFDPWt_1FKiwhDph83XaGc0o0/edit?usp=sharing"",""งบพรบ!FW80"")"),0)</f>
        <v>0</v>
      </c>
      <c r="N410" s="45">
        <f ca="1">IFERROR(__xludf.DUMMYFUNCTION("IMPORTRANGE(""https://docs.google.com/spreadsheets/d/1MeEWN-I1oV_STSDYn1IFDPWt_1FKiwhDph83XaGc0o0/edit?usp=sharing"",""งบพรบ!FY80"")"),0)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80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584321</v>
      </c>
      <c r="M414" s="521">
        <f t="shared" ca="1" si="181"/>
        <v>584321</v>
      </c>
      <c r="N414" s="521">
        <f t="shared" si="181"/>
        <v>266476</v>
      </c>
      <c r="O414" s="521">
        <f ca="1">IF(L414&gt;0,N414*100/L414,0)</f>
        <v>45.604385260841212</v>
      </c>
      <c r="P414" s="521">
        <f ca="1">IF(M414&gt;0,N414*100/M414,0)</f>
        <v>45.604385260841212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15</v>
      </c>
      <c r="J417" s="536">
        <f t="shared" ca="1" si="182"/>
        <v>15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1</v>
      </c>
      <c r="J418" s="536">
        <f t="shared" si="182"/>
        <v>1</v>
      </c>
      <c r="K418" s="537">
        <f t="shared" ca="1" si="183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66560</v>
      </c>
      <c r="M419" s="154">
        <f t="shared" ca="1" si="184"/>
        <v>66560</v>
      </c>
      <c r="N419" s="154">
        <f t="shared" si="184"/>
        <v>55050</v>
      </c>
      <c r="O419" s="154">
        <f t="shared" ref="O419:O424" ca="1" si="185">IF(L419&gt;0,N419*100/L419,0)</f>
        <v>82.707331730769226</v>
      </c>
      <c r="P419" s="154">
        <f t="shared" ref="P419:P424" ca="1" si="186">IF(M419&gt;0,N419*100/M419,0)</f>
        <v>82.707331730769226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66560</v>
      </c>
      <c r="M421" s="45">
        <f t="shared" ca="1" si="187"/>
        <v>66560</v>
      </c>
      <c r="N421" s="45">
        <f t="shared" si="187"/>
        <v>55050</v>
      </c>
      <c r="O421" s="45">
        <f t="shared" ca="1" si="185"/>
        <v>82.707331730769226</v>
      </c>
      <c r="P421" s="45">
        <f t="shared" ca="1" si="186"/>
        <v>82.707331730769226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66560</v>
      </c>
      <c r="M422" s="38">
        <f t="shared" ca="1" si="188"/>
        <v>66560</v>
      </c>
      <c r="N422" s="38">
        <f t="shared" si="188"/>
        <v>55050</v>
      </c>
      <c r="O422" s="38">
        <f t="shared" ca="1" si="185"/>
        <v>82.707331730769226</v>
      </c>
      <c r="P422" s="38">
        <f t="shared" ca="1" si="186"/>
        <v>82.707331730769226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IFERROR(__xludf.DUMMYFUNCTION("IMPORTRANGE(""https://docs.google.com/spreadsheets/d/1QqKyyYR6Q21VydFLVH3TRQUabQu_ym0Zz7PgGX0-kHA/edit?usp=sharing"",""แผน!EY80"")"),66560)</f>
        <v>66560</v>
      </c>
      <c r="M424" s="45">
        <f ca="1">L424</f>
        <v>66560</v>
      </c>
      <c r="N424" s="45">
        <f>N425+N426+N427+N428</f>
        <v>55050</v>
      </c>
      <c r="O424" s="45">
        <f t="shared" ca="1" si="185"/>
        <v>82.707331730769226</v>
      </c>
      <c r="P424" s="45">
        <f t="shared" ca="1" si="186"/>
        <v>82.707331730769226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36300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f>5400+9850+3500</f>
        <v>18750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IFERROR(__xludf.DUMMYFUNCTION("IMPORTRANGE(""https://docs.google.com/spreadsheets/d/1QqKyyYR6Q21VydFLVH3TRQUabQu_ym0Zz7PgGX0-kHA/edit?usp=sharing"",""แผน!FB80"")"),0)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IFERROR(__xludf.DUMMYFUNCTION("IMPORTRANGE(""https://docs.google.com/spreadsheets/d/1QqKyyYR6Q21VydFLVH3TRQUabQu_ym0Zz7PgGX0-kHA/edit?usp=sharing"",""แผน!FC80"")"),15)</f>
        <v>15</v>
      </c>
      <c r="J435" s="549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IFERROR(__xludf.DUMMYFUNCTION("IMPORTRANGE(""https://docs.google.com/spreadsheets/d/1QqKyyYR6Q21VydFLVH3TRQUabQu_ym0Zz7PgGX0-kHA/edit?usp=sharing"",""แผน!FD80"")"),0)</f>
        <v>0</v>
      </c>
      <c r="J437" s="549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IFERROR(__xludf.DUMMYFUNCTION("IMPORTRANGE(""https://docs.google.com/spreadsheets/d/1QqKyyYR6Q21VydFLVH3TRQUabQu_ym0Zz7PgGX0-kHA/edit?usp=sharing"",""แผน!FE80"")"),0)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IFERROR(__xludf.DUMMYFUNCTION("IMPORTRANGE(""https://docs.google.com/spreadsheets/d/1QqKyyYR6Q21VydFLVH3TRQUabQu_ym0Zz7PgGX0-kHA/edit?usp=sharing"",""แผน!FF80"")"),15)</f>
        <v>15</v>
      </c>
      <c r="J439" s="549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IFERROR(__xludf.DUMMYFUNCTION("IMPORTRANGE(""https://docs.google.com/spreadsheets/d/1QqKyyYR6Q21VydFLVH3TRQUabQu_ym0Zz7PgGX0-kHA/edit?usp=sharing"",""แผน!FG80"")"),1)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IFERROR(__xludf.DUMMYFUNCTION("IMPORTRANGE(""https://docs.google.com/spreadsheets/d/1QqKyyYR6Q21VydFLVH3TRQUabQu_ym0Zz7PgGX0-kHA/edit?usp=sharing"",""แผน!FH80"")"),0)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10</v>
      </c>
      <c r="J442" s="555">
        <f t="shared" si="195"/>
        <v>10</v>
      </c>
      <c r="K442" s="556">
        <f t="shared" ca="1" si="194"/>
        <v>100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20</v>
      </c>
      <c r="J443" s="536">
        <f t="shared" si="196"/>
        <v>20</v>
      </c>
      <c r="K443" s="537">
        <f t="shared" ca="1" si="194"/>
        <v>100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69160</v>
      </c>
      <c r="M444" s="191">
        <f t="shared" ca="1" si="197"/>
        <v>69160</v>
      </c>
      <c r="N444" s="191">
        <f t="shared" si="197"/>
        <v>63820</v>
      </c>
      <c r="O444" s="191">
        <f t="shared" ref="O444:O449" ca="1" si="198">IF(L444&gt;0,N444*100/L444,0)</f>
        <v>92.27877385772122</v>
      </c>
      <c r="P444" s="191">
        <f t="shared" ref="P444:P449" ca="1" si="199">IF(M444&gt;0,N444*100/M444,0)</f>
        <v>92.27877385772122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69160</v>
      </c>
      <c r="M446" s="45">
        <f t="shared" ca="1" si="200"/>
        <v>69160</v>
      </c>
      <c r="N446" s="45">
        <f t="shared" si="200"/>
        <v>63820</v>
      </c>
      <c r="O446" s="45">
        <f t="shared" ca="1" si="198"/>
        <v>92.27877385772122</v>
      </c>
      <c r="P446" s="45">
        <f t="shared" ca="1" si="199"/>
        <v>92.27877385772122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69160</v>
      </c>
      <c r="M447" s="38">
        <f t="shared" ca="1" si="201"/>
        <v>69160</v>
      </c>
      <c r="N447" s="38">
        <f t="shared" si="201"/>
        <v>63820</v>
      </c>
      <c r="O447" s="38">
        <f t="shared" ca="1" si="198"/>
        <v>92.27877385772122</v>
      </c>
      <c r="P447" s="38">
        <f t="shared" ca="1" si="199"/>
        <v>92.27877385772122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IFERROR(__xludf.DUMMYFUNCTION("IMPORTRANGE(""https://docs.google.com/spreadsheets/d/1QqKyyYR6Q21VydFLVH3TRQUabQu_ym0Zz7PgGX0-kHA/edit?usp=sharing"",""แผน!FJ80"")"),69160)</f>
        <v>69160</v>
      </c>
      <c r="M449" s="45">
        <f ca="1">L449</f>
        <v>69160</v>
      </c>
      <c r="N449" s="45">
        <f>N450+N451+N452+N453</f>
        <v>63820</v>
      </c>
      <c r="O449" s="45">
        <f t="shared" ca="1" si="198"/>
        <v>92.27877385772122</v>
      </c>
      <c r="P449" s="45">
        <f t="shared" ca="1" si="199"/>
        <v>92.27877385772122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17200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26000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20620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IFERROR(__xludf.DUMMYFUNCTION("IMPORTRANGE(""https://docs.google.com/spreadsheets/d/1QqKyyYR6Q21VydFLVH3TRQUabQu_ym0Zz7PgGX0-kHA/edit?usp=sharing"",""แผน!FM80"")"),0)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IFERROR(__xludf.DUMMYFUNCTION("IMPORTRANGE(""https://docs.google.com/spreadsheets/d/1QqKyyYR6Q21VydFLVH3TRQUabQu_ym0Zz7PgGX0-kHA/edit?usp=sharing"",""แผน!FN80"")"),10)</f>
        <v>10</v>
      </c>
      <c r="J460" s="181">
        <v>10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IFERROR(__xludf.DUMMYFUNCTION("IMPORTRANGE(""https://docs.google.com/spreadsheets/d/1QqKyyYR6Q21VydFLVH3TRQUabQu_ym0Zz7PgGX0-kHA/edit?usp=sharing"",""แผน!FO80"")"),20)</f>
        <v>20</v>
      </c>
      <c r="J462" s="181">
        <v>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IFERROR(__xludf.DUMMYFUNCTION("IMPORTRANGE(""https://docs.google.com/spreadsheets/d/1QqKyyYR6Q21VydFLVH3TRQUabQu_ym0Zz7PgGX0-kHA/edit?usp=sharing"",""แผน!FO80"")"),20)</f>
        <v>20</v>
      </c>
      <c r="J463" s="181">
        <v>20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IFERROR(__xludf.DUMMYFUNCTION("IMPORTRANGE(""https://docs.google.com/spreadsheets/d/1QqKyyYR6Q21VydFLVH3TRQUabQu_ym0Zz7PgGX0-kHA/edit?usp=sharing"",""แผน!FN80"")"),10)</f>
        <v>10</v>
      </c>
      <c r="J464" s="181">
        <v>10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IFERROR(__xludf.DUMMYFUNCTION("IMPORTRANGE(""https://docs.google.com/spreadsheets/d/1QqKyyYR6Q21VydFLVH3TRQUabQu_ym0Zz7PgGX0-kHA/edit?usp=sharing"",""แผน!FX80"")"),11)</f>
        <v>11</v>
      </c>
      <c r="J465" s="555">
        <f>J485+J489+J492</f>
        <v>11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IFERROR(__xludf.DUMMYFUNCTION("IMPORTRANGE(""https://docs.google.com/spreadsheets/d/1QqKyyYR6Q21VydFLVH3TRQUabQu_ym0Zz7PgGX0-kHA/edit?usp=sharing"",""แผน!FW80"")"),100)</f>
        <v>100</v>
      </c>
      <c r="J466" s="536">
        <f>J495+J498</f>
        <v>0</v>
      </c>
      <c r="K466" s="537">
        <f t="shared" ca="1" si="205"/>
        <v>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114323</v>
      </c>
      <c r="M467" s="191">
        <f t="shared" ca="1" si="206"/>
        <v>114323</v>
      </c>
      <c r="N467" s="191">
        <f t="shared" si="206"/>
        <v>29633</v>
      </c>
      <c r="O467" s="191">
        <f t="shared" ref="O467:O472" ca="1" si="207">IF(L467&gt;0,N467*100/L467,0)</f>
        <v>25.920418463476292</v>
      </c>
      <c r="P467" s="191">
        <f t="shared" ref="P467:P472" ca="1" si="208">IF(M467&gt;0,N467*100/M467,0)</f>
        <v>25.920418463476292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114323</v>
      </c>
      <c r="M469" s="45">
        <f t="shared" ca="1" si="209"/>
        <v>114323</v>
      </c>
      <c r="N469" s="45">
        <f t="shared" si="209"/>
        <v>29633</v>
      </c>
      <c r="O469" s="45">
        <f t="shared" ca="1" si="207"/>
        <v>25.920418463476292</v>
      </c>
      <c r="P469" s="45">
        <f t="shared" ca="1" si="208"/>
        <v>25.920418463476292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114323</v>
      </c>
      <c r="M470" s="38">
        <f t="shared" ca="1" si="210"/>
        <v>114323</v>
      </c>
      <c r="N470" s="38">
        <f t="shared" si="210"/>
        <v>29633</v>
      </c>
      <c r="O470" s="38">
        <f t="shared" ca="1" si="207"/>
        <v>25.920418463476292</v>
      </c>
      <c r="P470" s="38">
        <f t="shared" ca="1" si="208"/>
        <v>25.920418463476292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IFERROR(__xludf.DUMMYFUNCTION("IMPORTRANGE(""https://docs.google.com/spreadsheets/d/1QqKyyYR6Q21VydFLVH3TRQUabQu_ym0Zz7PgGX0-kHA/edit?usp=sharing"",""แผน!FS80"")"),114323)</f>
        <v>114323</v>
      </c>
      <c r="M472" s="45">
        <f ca="1">L472</f>
        <v>114323</v>
      </c>
      <c r="N472" s="45">
        <f>N473+N474+N475+N476</f>
        <v>29633</v>
      </c>
      <c r="O472" s="45">
        <f t="shared" ca="1" si="207"/>
        <v>25.920418463476292</v>
      </c>
      <c r="P472" s="45">
        <f t="shared" ca="1" si="208"/>
        <v>25.920418463476292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26683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500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f>1400+300+750</f>
        <v>2450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IFERROR(__xludf.DUMMYFUNCTION("IMPORTRANGE(""https://docs.google.com/spreadsheets/d/1QqKyyYR6Q21VydFLVH3TRQUabQu_ym0Zz7PgGX0-kHA/edit?usp=sharing"",""แผน!FV80"")"),0)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IFERROR(__xludf.DUMMYFUNCTION("IMPORTRANGE(""https://docs.google.com/spreadsheets/d/1QqKyyYR6Q21VydFLVH3TRQUabQu_ym0Zz7PgGX0-kHA/edit?usp=sharing"",""แผน!FY80"")"),90)</f>
        <v>90</v>
      </c>
      <c r="J483" s="181">
        <v>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IFERROR(__xludf.DUMMYFUNCTION("IMPORTRANGE(""https://docs.google.com/spreadsheets/d/1QqKyyYR6Q21VydFLVH3TRQUabQu_ym0Zz7PgGX0-kHA/edit?usp=sharing"",""แผน!FZ80"")"),9)</f>
        <v>9</v>
      </c>
      <c r="J485" s="181">
        <v>9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IFERROR(__xludf.DUMMYFUNCTION("IMPORTRANGE(""https://docs.google.com/spreadsheets/d/1QqKyyYR6Q21VydFLVH3TRQUabQu_ym0Zz7PgGX0-kHA/edit?usp=sharing"",""แผน!GA80"")"),10)</f>
        <v>10</v>
      </c>
      <c r="J487" s="181">
        <v>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1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IFERROR(__xludf.DUMMYFUNCTION("IMPORTRANGE(""https://docs.google.com/spreadsheets/d/1QqKyyYR6Q21VydFLVH3TRQUabQu_ym0Zz7PgGX0-kHA/edit?usp=sharing"",""แผน!GB80"")"),1)</f>
        <v>1</v>
      </c>
      <c r="J489" s="181">
        <v>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1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IFERROR(__xludf.DUMMYFUNCTION("IMPORTRANGE(""https://docs.google.com/spreadsheets/d/1QqKyyYR6Q21VydFLVH3TRQUabQu_ym0Zz7PgGX0-kHA/edit?usp=sharing"",""แผน!GC80"")"),1)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IFERROR(__xludf.DUMMYFUNCTION("IMPORTRANGE(""https://docs.google.com/spreadsheets/d/1QqKyyYR6Q21VydFLVH3TRQUabQu_ym0Zz7PgGX0-kHA/edit?usp=sharing"",""แผน!FY80"")"),90)</f>
        <v>90</v>
      </c>
      <c r="J495" s="181"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IFERROR(__xludf.DUMMYFUNCTION("IMPORTRANGE(""https://docs.google.com/spreadsheets/d/1QqKyyYR6Q21VydFLVH3TRQUabQu_ym0Zz7PgGX0-kHA/edit?usp=sharing"",""แผน!GA80"")"),10)</f>
        <v>10</v>
      </c>
      <c r="J498" s="181"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 hidden="1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 hidden="1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0</v>
      </c>
      <c r="J522" s="630">
        <f t="shared" ca="1" si="225"/>
        <v>0</v>
      </c>
      <c r="K522" s="631">
        <f ca="1">IF(I522&gt;0,J522*100/I522,0)</f>
        <v>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 hidden="1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 hidden="1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IFERROR(__xludf.DUMMYFUNCTION("IMPORTRANGE(""https://docs.google.com/spreadsheets/d/1QqKyyYR6Q21VydFLVH3TRQUabQu_ym0Zz7PgGX0-kHA/edit?usp=sharing"",""แผน!GQ80"")"),0)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 hidden="1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 hidden="1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 hidden="1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 hidden="1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 hidden="1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IFERROR(__xludf.DUMMYFUNCTION("IMPORTRANGE(""https://docs.google.com/spreadsheets/d/1QqKyyYR6Q21VydFLVH3TRQUabQu_ym0Zz7PgGX0-kHA/edit?usp=sharing"",""แผน!GT80"")"),0)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 hidden="1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 hidden="1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IFERROR(__xludf.DUMMYFUNCTION("IMPORTRANGE(""https://docs.google.com/spreadsheets/d/1QqKyyYR6Q21VydFLVH3TRQUabQu_ym0Zz7PgGX0-kHA/edit?usp=sharing"",""แผน!GU80"")"),0)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 hidden="1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IFERROR(__xludf.DUMMYFUNCTION("IMPORTRANGE(""https://docs.google.com/spreadsheets/d/1QqKyyYR6Q21VydFLVH3TRQUabQu_ym0Zz7PgGX0-kHA/edit?usp=sharing"",""แผน!GV80"")"),0)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 hidden="1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IFERROR(__xludf.DUMMYFUNCTION("IMPORTRANGE(""https://docs.google.com/spreadsheets/d/1QqKyyYR6Q21VydFLVH3TRQUabQu_ym0Zz7PgGX0-kHA/edit?usp=sharing"",""แผน!GW80"")"),0)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 hidden="1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IFERROR(__xludf.DUMMYFUNCTION("IMPORTRANGE(""https://docs.google.com/spreadsheets/d/1QqKyyYR6Q21VydFLVH3TRQUabQu_ym0Zz7PgGX0-kHA/edit?usp=sharing"",""แผน!GX80"")"),0)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 hidden="1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IFERROR(__xludf.DUMMYFUNCTION("IMPORTRANGE(""https://docs.google.com/spreadsheets/d/1QqKyyYR6Q21VydFLVH3TRQUabQu_ym0Zz7PgGX0-kHA/edit?usp=sharing"",""แผน!GY80"")"),0)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 hidden="1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IFERROR(__xludf.DUMMYFUNCTION("IMPORTRANGE(""https://docs.google.com/spreadsheets/d/1QqKyyYR6Q21VydFLVH3TRQUabQu_ym0Zz7PgGX0-kHA/edit?usp=sharing"",""แผน!GZ80"")"),0)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6591</v>
      </c>
      <c r="J543" s="638">
        <f t="shared" si="235"/>
        <v>0</v>
      </c>
      <c r="K543" s="639">
        <f t="shared" ca="1" si="234"/>
        <v>0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299718</v>
      </c>
      <c r="M544" s="154">
        <f t="shared" ca="1" si="236"/>
        <v>299718</v>
      </c>
      <c r="N544" s="154">
        <f t="shared" si="236"/>
        <v>110357</v>
      </c>
      <c r="O544" s="154">
        <f t="shared" ref="O544:O549" ca="1" si="237">IF(L544&gt;0,N544*100/L544,0)</f>
        <v>36.820277727730733</v>
      </c>
      <c r="P544" s="154">
        <f t="shared" ref="P544:P549" ca="1" si="238">IF(M544&gt;0,N544*100/M544,0)</f>
        <v>36.820277727730733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299718</v>
      </c>
      <c r="M546" s="45">
        <f t="shared" ca="1" si="240"/>
        <v>299718</v>
      </c>
      <c r="N546" s="45">
        <f t="shared" si="240"/>
        <v>110357</v>
      </c>
      <c r="O546" s="45">
        <f t="shared" ca="1" si="237"/>
        <v>36.820277727730733</v>
      </c>
      <c r="P546" s="45">
        <f t="shared" ca="1" si="238"/>
        <v>36.820277727730733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299718</v>
      </c>
      <c r="M547" s="38">
        <f t="shared" ca="1" si="241"/>
        <v>299718</v>
      </c>
      <c r="N547" s="38">
        <f t="shared" si="241"/>
        <v>110357</v>
      </c>
      <c r="O547" s="38">
        <f t="shared" ca="1" si="237"/>
        <v>36.820277727730733</v>
      </c>
      <c r="P547" s="38">
        <f t="shared" ca="1" si="238"/>
        <v>36.820277727730733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IFERROR(__xludf.DUMMYFUNCTION("IMPORTRANGE(""https://docs.google.com/spreadsheets/d/1QqKyyYR6Q21VydFLVH3TRQUabQu_ym0Zz7PgGX0-kHA/edit?usp=sharing"",""แผน!HB80"")"),299718)</f>
        <v>299718</v>
      </c>
      <c r="M549" s="45">
        <f ca="1">L549</f>
        <v>299718</v>
      </c>
      <c r="N549" s="45">
        <f>N550+N551+N552+N553+N554</f>
        <v>110357</v>
      </c>
      <c r="O549" s="45">
        <f t="shared" ca="1" si="237"/>
        <v>36.820277727730733</v>
      </c>
      <c r="P549" s="45">
        <f t="shared" ca="1" si="238"/>
        <v>36.820277727730733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65000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45357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IFERROR(__xludf.DUMMYFUNCTION("IMPORTRANGE(""https://docs.google.com/spreadsheets/d/1QqKyyYR6Q21VydFLVH3TRQUabQu_ym0Zz7PgGX0-kHA/edit?usp=sharing"",""แผน!HF80"")"),0)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6591</v>
      </c>
      <c r="J559" s="630">
        <f t="shared" si="245"/>
        <v>0</v>
      </c>
      <c r="K559" s="631">
        <f t="shared" ref="K559:K561" ca="1" si="246">IF(I559&gt;0,J559*100/I559,0)</f>
        <v>0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IFERROR(__xludf.DUMMYFUNCTION("IMPORTRANGE(""https://docs.google.com/spreadsheets/d/1QqKyyYR6Q21VydFLVH3TRQUabQu_ym0Zz7PgGX0-kHA/edit?usp=sharing"",""แผน!HH80"")"),6591)</f>
        <v>6591</v>
      </c>
      <c r="J560" s="189">
        <f t="shared" ref="J560:J561" si="247">J562+J564+J566</f>
        <v>5600.0199999999995</v>
      </c>
      <c r="K560" s="391">
        <f t="shared" ca="1" si="246"/>
        <v>84.964648763465334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IFERROR(__xludf.DUMMYFUNCTION("IMPORTRANGE(""https://docs.google.com/spreadsheets/d/1QqKyyYR6Q21VydFLVH3TRQUabQu_ym0Zz7PgGX0-kHA/edit?usp=sharing"",""แผน!HG80"")"),1075)</f>
        <v>1075</v>
      </c>
      <c r="J561" s="189">
        <f t="shared" si="247"/>
        <v>940</v>
      </c>
      <c r="K561" s="391">
        <f t="shared" ca="1" si="246"/>
        <v>87.441860465116278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4203.7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723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1029.3499999999999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154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366.97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63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IFERROR(__xludf.DUMMYFUNCTION("IMPORTRANGE(""https://docs.google.com/spreadsheets/d/1QqKyyYR6Q21VydFLVH3TRQUabQu_ym0Zz7PgGX0-kHA/edit?usp=sharing"",""แผน!HH80"")"),6591)</f>
        <v>6591</v>
      </c>
      <c r="J568" s="190">
        <f t="shared" ref="J568:J569" si="248">J570+J572+J574</f>
        <v>0</v>
      </c>
      <c r="K568" s="391">
        <f t="shared" ref="K568:K569" ca="1" si="249">IF(I568&gt;0,J568*100/I568,0)</f>
        <v>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IFERROR(__xludf.DUMMYFUNCTION("IMPORTRANGE(""https://docs.google.com/spreadsheets/d/1QqKyyYR6Q21VydFLVH3TRQUabQu_ym0Zz7PgGX0-kHA/edit?usp=sharing"",""แผน!HG80"")"),1075)</f>
        <v>1075</v>
      </c>
      <c r="J569" s="190">
        <f t="shared" si="248"/>
        <v>0</v>
      </c>
      <c r="K569" s="391">
        <f t="shared" ca="1" si="249"/>
        <v>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0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0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0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0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0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0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IFERROR(__xludf.DUMMYFUNCTION("IMPORTRANGE(""https://docs.google.com/spreadsheets/d/1QqKyyYR6Q21VydFLVH3TRQUabQu_ym0Zz7PgGX0-kHA/edit?usp=sharing"",""แผน!HH80"")"),6591)</f>
        <v>6591</v>
      </c>
      <c r="J576" s="190">
        <f t="shared" ref="J576:J577" si="250">J578+J580+J582+J588+J590</f>
        <v>0</v>
      </c>
      <c r="K576" s="391">
        <f t="shared" ref="K576:K577" ca="1" si="251">IF(I576&gt;0,J576*100/I576,0)</f>
        <v>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IFERROR(__xludf.DUMMYFUNCTION("IMPORTRANGE(""https://docs.google.com/spreadsheets/d/1QqKyyYR6Q21VydFLVH3TRQUabQu_ym0Zz7PgGX0-kHA/edit?usp=sharing"",""แผน!HG80"")"),1075)</f>
        <v>1075</v>
      </c>
      <c r="J577" s="190">
        <f t="shared" si="250"/>
        <v>0</v>
      </c>
      <c r="K577" s="391">
        <f t="shared" ca="1" si="251"/>
        <v>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0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0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0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0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0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0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0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1539.76</v>
      </c>
      <c r="J592" s="630">
        <f t="shared" si="253"/>
        <v>0</v>
      </c>
      <c r="K592" s="631">
        <f t="shared" ref="K592:K594" ca="1" si="254">IF(I592&gt;0,J592*100/I592,0)</f>
        <v>0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IFERROR(__xludf.DUMMYFUNCTION("IMPORTRANGE(""https://docs.google.com/spreadsheets/d/1QqKyyYR6Q21VydFLVH3TRQUabQu_ym0Zz7PgGX0-kHA/edit?usp=sharing"",""แผน!HJ80"")"),1539.76)</f>
        <v>1539.76</v>
      </c>
      <c r="J593" s="189">
        <f t="shared" ref="J593:J594" si="255">J595+J603+J609</f>
        <v>0</v>
      </c>
      <c r="K593" s="391">
        <f t="shared" ca="1" si="254"/>
        <v>0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IFERROR(__xludf.DUMMYFUNCTION("IMPORTRANGE(""https://docs.google.com/spreadsheets/d/1QqKyyYR6Q21VydFLVH3TRQUabQu_ym0Zz7PgGX0-kHA/edit?usp=sharing"",""แผน!HI80"")"),224)</f>
        <v>224</v>
      </c>
      <c r="J594" s="189">
        <f t="shared" si="255"/>
        <v>0</v>
      </c>
      <c r="K594" s="391">
        <f t="shared" ca="1" si="254"/>
        <v>0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0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0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 hidden="1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 hidden="1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IFERROR(__xludf.DUMMYFUNCTION("IMPORTRANGE(""https://docs.google.com/spreadsheets/d/1QqKyyYR6Q21VydFLVH3TRQUabQu_ym0Zz7PgGX0-kHA/edit?usp=sharing"",""แผน!HL80"")"),0)</f>
        <v>0</v>
      </c>
      <c r="J620" s="675">
        <f t="shared" ref="J620:J621" si="260">J622+J624+J626</f>
        <v>0</v>
      </c>
      <c r="K620" s="676">
        <f t="shared" ref="K620:K621" ca="1" si="261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 hidden="1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IFERROR(__xludf.DUMMYFUNCTION("IMPORTRANGE(""https://docs.google.com/spreadsheets/d/1QqKyyYR6Q21VydFLVH3TRQUabQu_ym0Zz7PgGX0-kHA/edit?usp=sharing"",""แผน!HK80"")"),0)</f>
        <v>0</v>
      </c>
      <c r="J621" s="675">
        <f t="shared" si="260"/>
        <v>0</v>
      </c>
      <c r="K621" s="676">
        <f t="shared" ca="1" si="261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 hidden="1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 hidden="1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 hidden="1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 hidden="1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 hidden="1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 hidden="1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 hidden="1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0</v>
      </c>
      <c r="J628" s="686">
        <f t="shared" ca="1" si="262"/>
        <v>0</v>
      </c>
      <c r="K628" s="687">
        <f ca="1">IF(I628&gt;0,J628*100/I628,0)</f>
        <v>0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 hidden="1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 hidden="1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IFERROR(__xludf.DUMMYFUNCTION("IMPORTRANGE(""https://docs.google.com/spreadsheets/d/1QqKyyYR6Q21VydFLVH3TRQUabQu_ym0Zz7PgGX0-kHA/edit?usp=sharing"",""แผน!HN80"")"),0)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 hidden="1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 hidden="1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 hidden="1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 hidden="1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 hidden="1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IFERROR(__xludf.DUMMYFUNCTION("IMPORTRANGE(""https://docs.google.com/spreadsheets/d/1QqKyyYR6Q21VydFLVH3TRQUabQu_ym0Zz7PgGX0-kHA/edit?usp=sharing"",""แผน!HQ80"")"),0)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 hidden="1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 hidden="1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IFERROR(__xludf.DUMMYFUNCTION("IMPORTRANGE(""https://docs.google.com/spreadsheets/d/1QqKyyYR6Q21VydFLVH3TRQUabQu_ym0Zz7PgGX0-kHA/edit?usp=sharing"",""แผน!HR80"")"),0)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 hidden="1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IFERROR(__xludf.DUMMYFUNCTION("IMPORTRANGE(""https://docs.google.com/spreadsheets/d/1QqKyyYR6Q21VydFLVH3TRQUabQu_ym0Zz7PgGX0-kHA/edit?usp=sharing"",""แผน!HR80"")"),0)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 hidden="1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IFERROR(__xludf.DUMMYFUNCTION("IMPORTRANGE(""https://docs.google.com/spreadsheets/d/1XWAQStnk-4SwqDmLtmXYiTMKHgktTP8We1SCoS47DrQ/edit?usp=sharing"",""จัดที่ดิน!AS80"")"),0)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 hidden="1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IFERROR(__xludf.DUMMYFUNCTION("IMPORTRANGE(""https://docs.google.com/spreadsheets/d/1XWAQStnk-4SwqDmLtmXYiTMKHgktTP8We1SCoS47DrQ/edit?usp=sharing"",""จัดที่ดิน!AT80"")"),0)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 hidden="1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IFERROR(__xludf.DUMMYFUNCTION("IMPORTRANGE(""https://docs.google.com/spreadsheets/d/1QqKyyYR6Q21VydFLVH3TRQUabQu_ym0Zz7PgGX0-kHA/edit?usp=sharing"",""แผน!HS80"")"),0)</f>
        <v>0</v>
      </c>
      <c r="J647" s="37">
        <f ca="1">IFERROR(__xludf.DUMMYFUNCTION("IMPORTRANGE(""https://docs.google.com/spreadsheets/d/1XWAQStnk-4SwqDmLtmXYiTMKHgktTP8We1SCoS47DrQ/edit?usp=sharing"",""จัดที่ดิน!AU80"")"),0)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 hidden="1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IFERROR(__xludf.DUMMYFUNCTION("IMPORTRANGE(""https://docs.google.com/spreadsheets/d/1XWAQStnk-4SwqDmLtmXYiTMKHgktTP8We1SCoS47DrQ/edit?usp=sharing"",""จัดที่ดิน!AV80"")"),0)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 hidden="1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IFERROR(__xludf.DUMMYFUNCTION("IMPORTRANGE(""https://docs.google.com/spreadsheets/d/1QqKyyYR6Q21VydFLVH3TRQUabQu_ym0Zz7PgGX0-kHA/edit?usp=sharing"",""แผน!HS80"")"),0)</f>
        <v>0</v>
      </c>
      <c r="J649" s="37">
        <f ca="1">IFERROR(__xludf.DUMMYFUNCTION("IMPORTRANGE(""https://docs.google.com/spreadsheets/d/1XWAQStnk-4SwqDmLtmXYiTMKHgktTP8We1SCoS47DrQ/edit?usp=sharing"",""จัดที่ดิน!AW80"")"),0)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 hidden="1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IFERROR(__xludf.DUMMYFUNCTION("IMPORTRANGE(""https://docs.google.com/spreadsheets/d/1XWAQStnk-4SwqDmLtmXYiTMKHgktTP8We1SCoS47DrQ/edit?usp=sharing"",""จัดที่ดิน!AX80"")"),0)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 hidden="1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IFERROR(__xludf.DUMMYFUNCTION("IMPORTRANGE(""https://docs.google.com/spreadsheets/d/1QqKyyYR6Q21VydFLVH3TRQUabQu_ym0Zz7PgGX0-kHA/edit?usp=sharing"",""แผน!HS80"")"),0)</f>
        <v>0</v>
      </c>
      <c r="J651" s="37">
        <f ca="1">IFERROR(__xludf.DUMMYFUNCTION("IMPORTRANGE(""https://docs.google.com/spreadsheets/d/1XWAQStnk-4SwqDmLtmXYiTMKHgktTP8We1SCoS47DrQ/edit?usp=sharing"",""จัดที่ดิน!AY80"")"),0)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 hidden="1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IFERROR(__xludf.DUMMYFUNCTION("IMPORTRANGE(""https://docs.google.com/spreadsheets/d/1XWAQStnk-4SwqDmLtmXYiTMKHgktTP8We1SCoS47DrQ/edit?usp=sharing"",""จัดที่ดิน!AZ80"")"),0)</f>
        <v>0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50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11000</v>
      </c>
      <c r="M655" s="191">
        <f t="shared" ca="1" si="273"/>
        <v>11000</v>
      </c>
      <c r="N655" s="191">
        <f t="shared" si="273"/>
        <v>6616</v>
      </c>
      <c r="O655" s="191">
        <f t="shared" ref="O655:O660" ca="1" si="274">IF(L655&gt;0,N655*100/L655,0)</f>
        <v>60.145454545454548</v>
      </c>
      <c r="P655" s="191">
        <f t="shared" ref="P655:P660" ca="1" si="275">IF(M655&gt;0,N655*100/M655,0)</f>
        <v>60.145454545454548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11000</v>
      </c>
      <c r="M657" s="45">
        <f t="shared" ca="1" si="276"/>
        <v>11000</v>
      </c>
      <c r="N657" s="45">
        <f t="shared" si="276"/>
        <v>6616</v>
      </c>
      <c r="O657" s="45">
        <f t="shared" ca="1" si="274"/>
        <v>60.145454545454548</v>
      </c>
      <c r="P657" s="45">
        <f t="shared" ca="1" si="275"/>
        <v>60.145454545454548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11000</v>
      </c>
      <c r="M658" s="38">
        <f t="shared" ca="1" si="277"/>
        <v>11000</v>
      </c>
      <c r="N658" s="38">
        <f t="shared" si="277"/>
        <v>6616</v>
      </c>
      <c r="O658" s="38">
        <f t="shared" ca="1" si="274"/>
        <v>60.145454545454548</v>
      </c>
      <c r="P658" s="38">
        <f t="shared" ca="1" si="275"/>
        <v>60.145454545454548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IFERROR(__xludf.DUMMYFUNCTION("IMPORTRANGE(""https://docs.google.com/spreadsheets/d/1QqKyyYR6Q21VydFLVH3TRQUabQu_ym0Zz7PgGX0-kHA/edit?usp=sharing"",""แผน!HV80"")"),11000)</f>
        <v>11000</v>
      </c>
      <c r="M660" s="45">
        <f ca="1">L660</f>
        <v>11000</v>
      </c>
      <c r="N660" s="45">
        <f>N661+N662+N663+N664</f>
        <v>6616</v>
      </c>
      <c r="O660" s="45">
        <f t="shared" ca="1" si="274"/>
        <v>60.145454545454548</v>
      </c>
      <c r="P660" s="45">
        <f t="shared" ca="1" si="275"/>
        <v>60.145454545454548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6616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IFERROR(__xludf.DUMMYFUNCTION("IMPORTRANGE(""https://docs.google.com/spreadsheets/d/1QqKyyYR6Q21VydFLVH3TRQUabQu_ym0Zz7PgGX0-kHA/edit?usp=sharing"",""แผน!IA80"")"),50)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IFERROR(__xludf.DUMMYFUNCTION("IMPORTRANGE(""https://docs.google.com/spreadsheets/d/1QqKyyYR6Q21VydFLVH3TRQUabQu_ym0Zz7PgGX0-kHA/edit?usp=sharing"",""แผน!HZ80"")"),5)</f>
        <v>5</v>
      </c>
      <c r="J670" s="181">
        <v>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IFERROR(__xludf.DUMMYFUNCTION("IMPORTRANGE(""https://docs.google.com/spreadsheets/d/1QqKyyYR6Q21VydFLVH3TRQUabQu_ym0Zz7PgGX0-kHA/edit?usp=sharing"",""แผน!HZ80"")"),5)</f>
        <v>5</v>
      </c>
      <c r="J671" s="181">
        <v>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IFERROR(__xludf.DUMMYFUNCTION("IMPORTRANGE(""https://docs.google.com/spreadsheets/d/1QqKyyYR6Q21VydFLVH3TRQUabQu_ym0Zz7PgGX0-kHA/edit?usp=sharing"",""แผน!IB80"")"),0)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23560</v>
      </c>
      <c r="M685" s="191">
        <f t="shared" ca="1" si="282"/>
        <v>23560</v>
      </c>
      <c r="N685" s="191">
        <f t="shared" si="282"/>
        <v>1000</v>
      </c>
      <c r="O685" s="191">
        <f t="shared" ref="O685:O688" ca="1" si="283">IF(L685&gt;0,N685*100/L685,0)</f>
        <v>4.2444821731748723</v>
      </c>
      <c r="P685" s="191">
        <f t="shared" ref="P685:P688" ca="1" si="284">IF(M685&gt;0,N685*100/M685,0)</f>
        <v>4.2444821731748723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23560</v>
      </c>
      <c r="M687" s="45">
        <f t="shared" ca="1" si="285"/>
        <v>23560</v>
      </c>
      <c r="N687" s="45">
        <f t="shared" si="285"/>
        <v>1000</v>
      </c>
      <c r="O687" s="45">
        <f t="shared" ca="1" si="283"/>
        <v>4.2444821731748723</v>
      </c>
      <c r="P687" s="45">
        <f t="shared" ca="1" si="284"/>
        <v>4.2444821731748723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23560</v>
      </c>
      <c r="M688" s="38">
        <f t="shared" ca="1" si="286"/>
        <v>23560</v>
      </c>
      <c r="N688" s="38">
        <f t="shared" si="286"/>
        <v>1000</v>
      </c>
      <c r="O688" s="38">
        <f t="shared" ca="1" si="283"/>
        <v>4.2444821731748723</v>
      </c>
      <c r="P688" s="38">
        <f t="shared" ca="1" si="284"/>
        <v>4.2444821731748723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IFERROR(__xludf.DUMMYFUNCTION("IMPORTRANGE(""https://docs.google.com/spreadsheets/d/1QqKyyYR6Q21VydFLVH3TRQUabQu_ym0Zz7PgGX0-kHA/edit?usp=sharing"",""แผน!HW80"")"),23560)</f>
        <v>23560</v>
      </c>
      <c r="M690" s="45">
        <f ca="1">L690</f>
        <v>23560</v>
      </c>
      <c r="N690" s="45">
        <f>N691+N692+N693+N694</f>
        <v>1000</v>
      </c>
      <c r="O690" s="45">
        <f ca="1">IF(L690&gt;0,N690*100/L690,0)</f>
        <v>4.2444821731748723</v>
      </c>
      <c r="P690" s="45">
        <f ca="1">IF(M690&gt;0,N690*100/M690,0)</f>
        <v>4.2444821731748723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1000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IFERROR(__xludf.DUMMYFUNCTION("IMPORTRANGE(""https://docs.google.com/spreadsheets/d/1QqKyyYR6Q21VydFLVH3TRQUabQu_ym0Zz7PgGX0-kHA/edit?usp=sharing"",""แผน!IC80"")"),0)</f>
        <v>0</v>
      </c>
      <c r="J699" s="37">
        <f ca="1">IFERROR(__xludf.DUMMYFUNCTION("IMPORTRANGE(""https://docs.google.com/spreadsheets/d/1XWAQStnk-4SwqDmLtmXYiTMKHgktTP8We1SCoS47DrQ/edit?usp=sharing"",""จัดที่ดิน!BB80"")"),0)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IFERROR(__xludf.DUMMYFUNCTION("IMPORTRANGE(""https://docs.google.com/spreadsheets/d/1QqKyyYR6Q21VydFLVH3TRQUabQu_ym0Zz7PgGX0-kHA/edit?usp=sharing"",""แผน!ID80"")"),1)</f>
        <v>1</v>
      </c>
      <c r="J700" s="37">
        <f ca="1">IFERROR(__xludf.DUMMYFUNCTION("IMPORTRANGE(""https://docs.google.com/spreadsheets/d/1XWAQStnk-4SwqDmLtmXYiTMKHgktTP8We1SCoS47DrQ/edit?usp=sharing"",""จัดที่ดิน!BD80"")"),0)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IFERROR(__xludf.DUMMYFUNCTION("IMPORTRANGE(""https://docs.google.com/spreadsheets/d/1QqKyyYR6Q21VydFLVH3TRQUabQu_ym0Zz7PgGX0-kHA/edit?usp=sharing"",""แผน!IE80"")"),0)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IFERROR(__xludf.DUMMYFUNCTION("IMPORTRANGE(""https://docs.google.com/spreadsheets/d/1QqKyyYR6Q21VydFLVH3TRQUabQu_ym0Zz7PgGX0-kHA/edit?usp=sharing"",""แผน!IF80"")"),0)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IFERROR(__xludf.DUMMYFUNCTION("IMPORTRANGE(""https://docs.google.com/spreadsheets/d/1QqKyyYR6Q21VydFLVH3TRQUabQu_ym0Zz7PgGX0-kHA/edit?usp=sharing"",""แผน!IG80"")"),0)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IFERROR(__xludf.DUMMYFUNCTION("IMPORTRANGE(""https://docs.google.com/spreadsheets/d/1QqKyyYR6Q21VydFLVH3TRQUabQu_ym0Zz7PgGX0-kHA/edit?usp=sharing"",""แผน!IH80"")"),0)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IFERROR(__xludf.DUMMYFUNCTION("IMPORTRANGE(""https://docs.google.com/spreadsheets/d/1XWAQStnk-4SwqDmLtmXYiTMKHgktTP8We1SCoS47DrQ/edit?usp=sharing"",""จัดที่ดิน!BF80"")"),0)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IFERROR(__xludf.DUMMYFUNCTION("IMPORTRANGE(""https://docs.google.com/spreadsheets/d/1XWAQStnk-4SwqDmLtmXYiTMKHgktTP8We1SCoS47DrQ/edit?usp=sharing"",""จัดที่ดิน!BG80"")"),0)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IFERROR(__xludf.DUMMYFUNCTION("IMPORTRANGE(""https://docs.google.com/spreadsheets/d/1QqKyyYR6Q21VydFLVH3TRQUabQu_ym0Zz7PgGX0-kHA/edit?usp=sharing"",""แผน!II80"")"),0)</f>
        <v>0</v>
      </c>
      <c r="J720" s="37">
        <f ca="1">IFERROR(__xludf.DUMMYFUNCTION("IMPORTRANGE(""https://docs.google.com/spreadsheets/d/1XWAQStnk-4SwqDmLtmXYiTMKHgktTP8We1SCoS47DrQ/edit?usp=sharing"",""จัดที่ดิน!BH80"")"),0)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IFERROR(__xludf.DUMMYFUNCTION("IMPORTRANGE(""https://docs.google.com/spreadsheets/d/1QqKyyYR6Q21VydFLVH3TRQUabQu_ym0Zz7PgGX0-kHA/edit?usp=sharing"",""แผน!IJ80"")"),87)</f>
        <v>87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IFERROR(__xludf.DUMMYFUNCTION("IMPORTRANGE(""https://docs.google.com/spreadsheets/d/1QqKyyYR6Q21VydFLVH3TRQUabQu_ym0Zz7PgGX0-kHA/edit?usp=sharing"",""แผน!IK80"")"),332)</f>
        <v>332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IFERROR(__xludf.DUMMYFUNCTION("IMPORTRANGE(""https://docs.google.com/spreadsheets/d/1QqKyyYR6Q21VydFLVH3TRQUabQu_ym0Zz7PgGX0-kHA/edit?usp=sharing"",""แผน!IL80"")"),50)</f>
        <v>50</v>
      </c>
      <c r="J723" s="37">
        <f ca="1">IFERROR(__xludf.DUMMYFUNCTION("IMPORTRANGE(""https://docs.google.com/spreadsheets/d/1XWAQStnk-4SwqDmLtmXYiTMKHgktTP8We1SCoS47DrQ/edit?usp=sharing"",""จัดที่ดิน!BM80"")"),0)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IFERROR(__xludf.DUMMYFUNCTION("IMPORTRANGE(""https://docs.google.com/spreadsheets/d/1XWAQStnk-4SwqDmLtmXYiTMKHgktTP8We1SCoS47DrQ/edit?usp=sharing"",""จัดที่ดิน!BN80"")"),0)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IFERROR(__xludf.DUMMYFUNCTION("IMPORTRANGE(""https://docs.google.com/spreadsheets/d/1QqKyyYR6Q21VydFLVH3TRQUabQu_ym0Zz7PgGX0-kHA/edit?usp=sharing"",""แผน!IM80"")"),212)</f>
        <v>212</v>
      </c>
      <c r="J725" s="37">
        <f ca="1">IFERROR(__xludf.DUMMYFUNCTION("IMPORTRANGE(""https://docs.google.com/spreadsheets/d/1XWAQStnk-4SwqDmLtmXYiTMKHgktTP8We1SCoS47DrQ/edit?usp=sharing"",""จัดที่ดิน!BO80"")"),0)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IFERROR(__xludf.DUMMYFUNCTION("IMPORTRANGE(""https://docs.google.com/spreadsheets/d/1QqKyyYR6Q21VydFLVH3TRQUabQu_ym0Zz7PgGX0-kHA/edit?usp=sharing"",""แผน!IN80"")"),37)</f>
        <v>37</v>
      </c>
      <c r="J726" s="37">
        <f ca="1">IFERROR(__xludf.DUMMYFUNCTION("IMPORTRANGE(""https://docs.google.com/spreadsheets/d/1XWAQStnk-4SwqDmLtmXYiTMKHgktTP8We1SCoS47DrQ/edit?usp=sharing"",""จัดที่ดิน!BR80"")"),0)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IFERROR(__xludf.DUMMYFUNCTION("IMPORTRANGE(""https://docs.google.com/spreadsheets/d/1XWAQStnk-4SwqDmLtmXYiTMKHgktTP8We1SCoS47DrQ/edit?usp=sharing"",""จัดที่ดิน!BS80"")"),0)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IFERROR(__xludf.DUMMYFUNCTION("IMPORTRANGE(""https://docs.google.com/spreadsheets/d/1QqKyyYR6Q21VydFLVH3TRQUabQu_ym0Zz7PgGX0-kHA/edit?usp=sharing"",""แผน!IO80"")"),120)</f>
        <v>120</v>
      </c>
      <c r="J728" s="37">
        <f ca="1">IFERROR(__xludf.DUMMYFUNCTION("IMPORTRANGE(""https://docs.google.com/spreadsheets/d/1XWAQStnk-4SwqDmLtmXYiTMKHgktTP8We1SCoS47DrQ/edit?usp=sharing"",""จัดที่ดิน!BT80"")"),0)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IFERROR(__xludf.DUMMYFUNCTION("IMPORTRANGE(""https://docs.google.com/spreadsheets/d/1QqKyyYR6Q21VydFLVH3TRQUabQu_ym0Zz7PgGX0-kHA/edit?usp=sharing"",""แผน!IP80"")"),0)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IFERROR(__xludf.DUMMYFUNCTION("IMPORTRANGE(""https://docs.google.com/spreadsheets/d/1QqKyyYR6Q21VydFLVH3TRQUabQu_ym0Zz7PgGX0-kHA/edit?usp=sharing"",""แผน!JJ80"")"),0)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IFERROR(__xludf.DUMMYFUNCTION("IMPORTRANGE(""https://docs.google.com/spreadsheets/d/1QqKyyYR6Q21VydFLVH3TRQUabQu_ym0Zz7PgGX0-kHA/edit?usp=sharing"",""แผน!JN80"")"),0)</f>
        <v>0</v>
      </c>
      <c r="J800" s="161">
        <f ca="1">IFERROR(__xludf.DUMMYFUNCTION("IMPORTRANGE(""https://docs.google.com/spreadsheets/d/1MaWodYyGHDf7siQLGxnXhG4mBNTNIuy296niS2xXulU/edit?usp=sharing"",""RTK!H80"")"),0)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IFERROR(__xludf.DUMMYFUNCTION("IMPORTRANGE(""https://docs.google.com/spreadsheets/d/1MaWodYyGHDf7siQLGxnXhG4mBNTNIuy296niS2xXulU/edit?usp=sharing"",""RTK!I80"")"),0)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341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37">
        <f ca="1">IFERROR(__xludf.DUMMYFUNCTION("IMPORTRANGE(""https://docs.google.com/spreadsheets/d/19vJNZY_5yjcGF2XGBMNZRCAIB0Kwfpjp8YEOfu-bneM/edit?usp=sharing"",""งานกองทุน!F80"")"),564233.65)</f>
        <v>564233.65</v>
      </c>
      <c r="K821" s="38">
        <f t="shared" ref="K821:K828" ca="1" si="335">IF(I821&gt;0,J821*100/I821,0)</f>
        <v>119.22733335550663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IFERROR(__xludf.DUMMYFUNCTION("IMPORTRANGE(""https://docs.google.com/spreadsheets/d/19vJNZY_5yjcGF2XGBMNZRCAIB0Kwfpjp8YEOfu-bneM/edit?usp=sharing"",""งานกองทุน!C80"")"),31)</f>
        <v>31</v>
      </c>
      <c r="J822" s="37">
        <f ca="1">IFERROR(__xludf.DUMMYFUNCTION("IMPORTRANGE(""https://docs.google.com/spreadsheets/d/19vJNZY_5yjcGF2XGBMNZRCAIB0Kwfpjp8YEOfu-bneM/edit?usp=sharing"",""งานกองทุน!E80"")"),29)</f>
        <v>29</v>
      </c>
      <c r="K822" s="38">
        <f t="shared" ca="1" si="335"/>
        <v>93.548387096774192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37">
        <f ca="1">IFERROR(__xludf.DUMMYFUNCTION("IMPORTRANGE(""https://docs.google.com/spreadsheets/d/19vJNZY_5yjcGF2XGBMNZRCAIB0Kwfpjp8YEOfu-bneM/edit?usp=sharing"",""งานกองทุน!K80"")"),129580.69)</f>
        <v>129580.69</v>
      </c>
      <c r="K823" s="38">
        <f t="shared" ca="1" si="335"/>
        <v>6.883350240779988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IFERROR(__xludf.DUMMYFUNCTION("IMPORTRANGE(""https://docs.google.com/spreadsheets/d/19vJNZY_5yjcGF2XGBMNZRCAIB0Kwfpjp8YEOfu-bneM/edit?usp=sharing"",""งานกองทุน!H80"")"),131)</f>
        <v>131</v>
      </c>
      <c r="J824" s="37">
        <f ca="1">IFERROR(__xludf.DUMMYFUNCTION("IMPORTRANGE(""https://docs.google.com/spreadsheets/d/19vJNZY_5yjcGF2XGBMNZRCAIB0Kwfpjp8YEOfu-bneM/edit?usp=sharing"",""งานกองทุน!J80"")"),106)</f>
        <v>106</v>
      </c>
      <c r="K824" s="38">
        <f t="shared" ca="1" si="335"/>
        <v>80.916030534351151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IFERROR(__xludf.DUMMYFUNCTION("IMPORTRANGE(""https://docs.google.com/spreadsheets/d/19vJNZY_5yjcGF2XGBMNZRCAIB0Kwfpjp8YEOfu-bneM/edit?usp=sharing"",""งานกองทุน!N80"")"),26632.55)</f>
        <v>26632.55</v>
      </c>
      <c r="J825" s="37">
        <f ca="1">IFERROR(__xludf.DUMMYFUNCTION("IMPORTRANGE(""https://docs.google.com/spreadsheets/d/19vJNZY_5yjcGF2XGBMNZRCAIB0Kwfpjp8YEOfu-bneM/edit?usp=sharing"",""งานกองทุน!P80"")"),46016.77)</f>
        <v>46016.77</v>
      </c>
      <c r="K825" s="38">
        <f t="shared" ca="1" si="335"/>
        <v>172.78394295702066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IFERROR(__xludf.DUMMYFUNCTION("IMPORTRANGE(""https://docs.google.com/spreadsheets/d/19vJNZY_5yjcGF2XGBMNZRCAIB0Kwfpjp8YEOfu-bneM/edit?usp=sharing"",""งานกองทุน!M80"")"),83)</f>
        <v>83</v>
      </c>
      <c r="J826" s="37">
        <f ca="1">IFERROR(__xludf.DUMMYFUNCTION("IMPORTRANGE(""https://docs.google.com/spreadsheets/d/19vJNZY_5yjcGF2XGBMNZRCAIB0Kwfpjp8YEOfu-bneM/edit?usp=sharing"",""งานกองทุน!O80"")"),16)</f>
        <v>16</v>
      </c>
      <c r="K826" s="38">
        <f t="shared" ca="1" si="335"/>
        <v>19.277108433734941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IFERROR(__xludf.DUMMYFUNCTION("IMPORTRANGE(""https://docs.google.com/spreadsheets/d/19vJNZY_5yjcGF2XGBMNZRCAIB0Kwfpjp8YEOfu-bneM/edit?usp=sharing"",""งานกองทุน!S80"")"),300000)</f>
        <v>300000</v>
      </c>
      <c r="J827" s="37">
        <f ca="1">IFERROR(__xludf.DUMMYFUNCTION("IMPORTRANGE(""https://docs.google.com/spreadsheets/d/19vJNZY_5yjcGF2XGBMNZRCAIB0Kwfpjp8YEOfu-bneM/edit?usp=sharing"",""งานกองทุน!U80"")"),400000)</f>
        <v>400000</v>
      </c>
      <c r="K827" s="38">
        <f t="shared" ca="1" si="335"/>
        <v>133.33333333333334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IFERROR(__xludf.DUMMYFUNCTION("IMPORTRANGE(""https://docs.google.com/spreadsheets/d/19vJNZY_5yjcGF2XGBMNZRCAIB0Kwfpjp8YEOfu-bneM/edit?usp=sharing"",""งานกองทุน!R80"")"),7)</f>
        <v>7</v>
      </c>
      <c r="J828" s="365">
        <f ca="1">IFERROR(__xludf.DUMMYFUNCTION("IMPORTRANGE(""https://docs.google.com/spreadsheets/d/19vJNZY_5yjcGF2XGBMNZRCAIB0Kwfpjp8YEOfu-bneM/edit?usp=sharing"",""งานกองทุน!T80"")"),8)</f>
        <v>8</v>
      </c>
      <c r="K828" s="475">
        <f t="shared" ca="1" si="335"/>
        <v>114.28571428571429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6101F-82A4-46DD-9B22-77A8F4FD0DB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343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7772113</v>
      </c>
      <c r="M8" s="22">
        <f t="shared" ca="1" si="0"/>
        <v>6590945.5</v>
      </c>
      <c r="N8" s="22">
        <f t="shared" ca="1" si="0"/>
        <v>5753405.3499999996</v>
      </c>
      <c r="O8" s="22">
        <f t="shared" ref="O8:O16" ca="1" si="1">IF(L8&gt;0,N8*100/L8,0)</f>
        <v>74.026269947439005</v>
      </c>
      <c r="P8" s="22">
        <f t="shared" ref="P8:P16" ca="1" si="2">IF(M8&gt;0,N8*100/M8,0)</f>
        <v>87.292564473488667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7772113</v>
      </c>
      <c r="M10" s="30">
        <f t="shared" ca="1" si="3"/>
        <v>6590945.5</v>
      </c>
      <c r="N10" s="30">
        <f t="shared" ca="1" si="3"/>
        <v>5753405.3499999996</v>
      </c>
      <c r="O10" s="30">
        <f t="shared" ca="1" si="1"/>
        <v>74.026269947439005</v>
      </c>
      <c r="P10" s="30">
        <f t="shared" ca="1" si="2"/>
        <v>87.292564473488667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3026113</v>
      </c>
      <c r="M11" s="38">
        <f t="shared" ca="1" si="4"/>
        <v>3173395.5</v>
      </c>
      <c r="N11" s="38">
        <f t="shared" ca="1" si="4"/>
        <v>2335855.35</v>
      </c>
      <c r="O11" s="38">
        <f t="shared" ca="1" si="1"/>
        <v>77.189957876655626</v>
      </c>
      <c r="P11" s="38">
        <f t="shared" ca="1" si="2"/>
        <v>73.607445085240713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3026113</v>
      </c>
      <c r="M13" s="45">
        <f t="shared" ca="1" si="5"/>
        <v>3173395.5</v>
      </c>
      <c r="N13" s="45">
        <f t="shared" ca="1" si="5"/>
        <v>2335855.35</v>
      </c>
      <c r="O13" s="45">
        <f t="shared" ca="1" si="1"/>
        <v>77.189957876655626</v>
      </c>
      <c r="P13" s="45">
        <f t="shared" ca="1" si="2"/>
        <v>73.607445085240713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4746000</v>
      </c>
      <c r="M14" s="38">
        <f t="shared" ca="1" si="6"/>
        <v>3417550</v>
      </c>
      <c r="N14" s="38">
        <f t="shared" ca="1" si="6"/>
        <v>3417550</v>
      </c>
      <c r="O14" s="38">
        <f t="shared" ca="1" si="1"/>
        <v>72.009060261272651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3417550</v>
      </c>
      <c r="N16" s="52">
        <f t="shared" ca="1" si="7"/>
        <v>3417550</v>
      </c>
      <c r="O16" s="52">
        <f t="shared" ca="1" si="1"/>
        <v>72.009060261272651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5856199.5</v>
      </c>
      <c r="N18" s="22">
        <f t="shared" ca="1" si="8"/>
        <v>5202794.3499999996</v>
      </c>
      <c r="O18" s="22">
        <f t="shared" ref="O18:O26" ca="1" si="9">IF(L18&gt;0,N18*100/L18,0)</f>
        <v>73.930979441600812</v>
      </c>
      <c r="P18" s="22">
        <f t="shared" ref="P18:P26" ca="1" si="10">IF(M18&gt;0,N18*100/M18,0)</f>
        <v>88.842505280088204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5856199.5</v>
      </c>
      <c r="N20" s="30">
        <f t="shared" ca="1" si="11"/>
        <v>5202794.3499999996</v>
      </c>
      <c r="O20" s="30">
        <f t="shared" ca="1" si="9"/>
        <v>73.930979441600812</v>
      </c>
      <c r="P20" s="30">
        <f t="shared" ca="1" si="10"/>
        <v>88.842505280088204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2291367</v>
      </c>
      <c r="M21" s="38">
        <f t="shared" ca="1" si="12"/>
        <v>2438649.5</v>
      </c>
      <c r="N21" s="38">
        <f t="shared" ca="1" si="12"/>
        <v>1785244.35</v>
      </c>
      <c r="O21" s="38">
        <f t="shared" ca="1" si="9"/>
        <v>77.911759661372443</v>
      </c>
      <c r="P21" s="38">
        <f t="shared" ca="1" si="10"/>
        <v>73.206270519810246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2291367</v>
      </c>
      <c r="M23" s="45">
        <f t="shared" ca="1" si="13"/>
        <v>2438649.5</v>
      </c>
      <c r="N23" s="45">
        <f t="shared" ca="1" si="13"/>
        <v>1785244.35</v>
      </c>
      <c r="O23" s="45">
        <f t="shared" ca="1" si="9"/>
        <v>77.911759661372443</v>
      </c>
      <c r="P23" s="45">
        <f t="shared" ca="1" si="10"/>
        <v>73.206270519810246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4746000</v>
      </c>
      <c r="M24" s="38">
        <f t="shared" ca="1" si="14"/>
        <v>3417550</v>
      </c>
      <c r="N24" s="38">
        <f t="shared" ca="1" si="14"/>
        <v>3417550</v>
      </c>
      <c r="O24" s="38">
        <f t="shared" ca="1" si="9"/>
        <v>72.009060261272651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3417550</v>
      </c>
      <c r="N26" s="52">
        <f t="shared" ca="1" si="15"/>
        <v>3417550</v>
      </c>
      <c r="O26" s="52">
        <f t="shared" ca="1" si="9"/>
        <v>72.009060261272651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734746</v>
      </c>
      <c r="M28" s="22">
        <f t="shared" ca="1" si="16"/>
        <v>734746</v>
      </c>
      <c r="N28" s="22">
        <f t="shared" si="16"/>
        <v>550611</v>
      </c>
      <c r="O28" s="22">
        <f t="shared" ref="O28:O37" ca="1" si="17">IF(L28&gt;0,N28*100/L28,0)</f>
        <v>74.938958497222174</v>
      </c>
      <c r="P28" s="22">
        <f t="shared" ref="P28:P37" ca="1" si="18">IF(M28&gt;0,N28*100/M28,0)</f>
        <v>74.938958497222174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734746</v>
      </c>
      <c r="M30" s="30">
        <f t="shared" ca="1" si="19"/>
        <v>734746</v>
      </c>
      <c r="N30" s="30">
        <f t="shared" si="19"/>
        <v>550611</v>
      </c>
      <c r="O30" s="30">
        <f t="shared" ca="1" si="17"/>
        <v>74.938958497222174</v>
      </c>
      <c r="P30" s="30">
        <f t="shared" ca="1" si="18"/>
        <v>74.938958497222174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734746</v>
      </c>
      <c r="M31" s="38">
        <f t="shared" ca="1" si="20"/>
        <v>734746</v>
      </c>
      <c r="N31" s="38">
        <f t="shared" si="20"/>
        <v>550611</v>
      </c>
      <c r="O31" s="38">
        <f t="shared" ca="1" si="17"/>
        <v>74.938958497222174</v>
      </c>
      <c r="P31" s="38">
        <f t="shared" ca="1" si="18"/>
        <v>74.938958497222174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734746</v>
      </c>
      <c r="M33" s="45">
        <f t="shared" ca="1" si="21"/>
        <v>734746</v>
      </c>
      <c r="N33" s="45">
        <f t="shared" si="21"/>
        <v>550611</v>
      </c>
      <c r="O33" s="45">
        <f t="shared" ca="1" si="17"/>
        <v>74.938958497222174</v>
      </c>
      <c r="P33" s="45">
        <f t="shared" ca="1" si="18"/>
        <v>74.938958497222174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7037367</v>
      </c>
      <c r="M37" s="792">
        <f t="shared" ca="1" si="24"/>
        <v>5856199.5</v>
      </c>
      <c r="N37" s="792">
        <f t="shared" ca="1" si="24"/>
        <v>5202794.3500000006</v>
      </c>
      <c r="O37" s="792">
        <f t="shared" ca="1" si="17"/>
        <v>73.930979441600826</v>
      </c>
      <c r="P37" s="792">
        <f t="shared" ca="1" si="18"/>
        <v>88.842505280088233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253194.5</v>
      </c>
      <c r="N41" s="85">
        <f t="shared" ca="1" si="25"/>
        <v>202814.5</v>
      </c>
      <c r="O41" s="85">
        <f t="shared" ref="O41:O49" ca="1" si="26">IF(L41&gt;0,N41*100/L41,0)</f>
        <v>104.62876982284541</v>
      </c>
      <c r="P41" s="85">
        <f t="shared" ref="P41:P49" ca="1" si="27">IF(M41&gt;0,N41*100/M41,0)</f>
        <v>80.102253405978402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253194.5</v>
      </c>
      <c r="N43" s="92">
        <f t="shared" ca="1" si="28"/>
        <v>202814.5</v>
      </c>
      <c r="O43" s="92">
        <f t="shared" ca="1" si="26"/>
        <v>104.62876982284541</v>
      </c>
      <c r="P43" s="92">
        <f t="shared" ca="1" si="27"/>
        <v>80.102253405978402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193842</v>
      </c>
      <c r="M44" s="38">
        <f t="shared" ca="1" si="29"/>
        <v>253194.5</v>
      </c>
      <c r="N44" s="38">
        <f t="shared" ca="1" si="29"/>
        <v>202814.5</v>
      </c>
      <c r="O44" s="38">
        <f t="shared" ca="1" si="26"/>
        <v>104.62876982284541</v>
      </c>
      <c r="P44" s="38">
        <f t="shared" ca="1" si="27"/>
        <v>80.102253405978402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IFERROR(__xludf.DUMMYFUNCTION("IMPORTRANGE(""https://docs.google.com/spreadsheets/d/1MeEWN-I1oV_STSDYn1IFDPWt_1FKiwhDph83XaGc0o0/edit?usp=sharing"",""งบพรบ!M81"")"),193842)</f>
        <v>193842</v>
      </c>
      <c r="M46" s="45">
        <f ca="1">IFERROR(__xludf.DUMMYFUNCTION("IMPORTRANGE(""https://docs.google.com/spreadsheets/d/1MeEWN-I1oV_STSDYn1IFDPWt_1FKiwhDph83XaGc0o0/edit?usp=sharing"",""งบพรบ!R81"")"),253194.5)</f>
        <v>253194.5</v>
      </c>
      <c r="N46" s="45">
        <f ca="1">IFERROR(__xludf.DUMMYFUNCTION("IMPORTRANGE(""https://docs.google.com/spreadsheets/d/1MeEWN-I1oV_STSDYn1IFDPWt_1FKiwhDph83XaGc0o0/edit?usp=sharing"",""งบพรบ!T81"")"),202814.5)</f>
        <v>202814.5</v>
      </c>
      <c r="O46" s="45">
        <f t="shared" ca="1" si="26"/>
        <v>104.62876982284541</v>
      </c>
      <c r="P46" s="45">
        <f t="shared" ca="1" si="27"/>
        <v>80.102253405978402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5589500</v>
      </c>
      <c r="M53" s="115">
        <f t="shared" ca="1" si="31"/>
        <v>4261250</v>
      </c>
      <c r="N53" s="115">
        <f t="shared" ca="1" si="31"/>
        <v>4170565.79</v>
      </c>
      <c r="O53" s="115">
        <f t="shared" ref="O53:O61" ca="1" si="32">IF(L53&gt;0,N53*100/L53,0)</f>
        <v>74.614290902585211</v>
      </c>
      <c r="P53" s="115">
        <f t="shared" ref="P53:P61" ca="1" si="33">IF(M53&gt;0,N53*100/M53,0)</f>
        <v>97.871887122323258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5589500</v>
      </c>
      <c r="M55" s="122">
        <f t="shared" ca="1" si="34"/>
        <v>4261250</v>
      </c>
      <c r="N55" s="122">
        <f t="shared" ca="1" si="34"/>
        <v>4170565.79</v>
      </c>
      <c r="O55" s="122">
        <f t="shared" ca="1" si="32"/>
        <v>74.614290902585211</v>
      </c>
      <c r="P55" s="122">
        <f t="shared" ca="1" si="33"/>
        <v>97.871887122323258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919500</v>
      </c>
      <c r="M56" s="38">
        <f t="shared" ca="1" si="35"/>
        <v>919500</v>
      </c>
      <c r="N56" s="38">
        <f t="shared" ca="1" si="35"/>
        <v>828815.79</v>
      </c>
      <c r="O56" s="38">
        <f t="shared" ca="1" si="32"/>
        <v>90.13766068515497</v>
      </c>
      <c r="P56" s="38">
        <f t="shared" ca="1" si="33"/>
        <v>90.13766068515497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IFERROR(__xludf.DUMMYFUNCTION("IMPORTRANGE(""https://docs.google.com/spreadsheets/d/1MeEWN-I1oV_STSDYn1IFDPWt_1FKiwhDph83XaGc0o0/edit?usp=sharing"",""งบพรบ!W81"")"),919500)</f>
        <v>919500</v>
      </c>
      <c r="M58" s="45">
        <f ca="1">IFERROR(__xludf.DUMMYFUNCTION("IMPORTRANGE(""https://docs.google.com/spreadsheets/d/1MeEWN-I1oV_STSDYn1IFDPWt_1FKiwhDph83XaGc0o0/edit?usp=sharing"",""งบพรบ!AB81"")"),919500)</f>
        <v>919500</v>
      </c>
      <c r="N58" s="45">
        <f ca="1">IFERROR(__xludf.DUMMYFUNCTION("IMPORTRANGE(""https://docs.google.com/spreadsheets/d/1MeEWN-I1oV_STSDYn1IFDPWt_1FKiwhDph83XaGc0o0/edit?usp=sharing"",""งบพรบ!AD81"")"),828815.79)</f>
        <v>828815.79</v>
      </c>
      <c r="O58" s="45">
        <f t="shared" ca="1" si="32"/>
        <v>90.13766068515497</v>
      </c>
      <c r="P58" s="45">
        <f t="shared" ca="1" si="33"/>
        <v>90.13766068515497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4670000</v>
      </c>
      <c r="M59" s="38">
        <f t="shared" ca="1" si="36"/>
        <v>3341750</v>
      </c>
      <c r="N59" s="38">
        <f t="shared" ca="1" si="36"/>
        <v>3341750</v>
      </c>
      <c r="O59" s="38">
        <f t="shared" ca="1" si="32"/>
        <v>71.557815845824408</v>
      </c>
      <c r="P59" s="3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IFERROR(__xludf.DUMMYFUNCTION("IMPORTRANGE(""https://docs.google.com/spreadsheets/d/1MeEWN-I1oV_STSDYn1IFDPWt_1FKiwhDph83XaGc0o0/edit?usp=sharing"",""งบพรบ!AC81"")"),3341750)</f>
        <v>3341750</v>
      </c>
      <c r="N61" s="52">
        <f ca="1">IFERROR(__xludf.DUMMYFUNCTION("IMPORTRANGE(""https://docs.google.com/spreadsheets/d/1MeEWN-I1oV_STSDYn1IFDPWt_1FKiwhDph83XaGc0o0/edit?usp=sharing"",""งบพรบ!AE81"")"),3341750)</f>
        <v>3341750</v>
      </c>
      <c r="O61" s="52">
        <f t="shared" ca="1" si="32"/>
        <v>71.557815845824408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 hidden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" hidden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" hidden="1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0</v>
      </c>
      <c r="M68" s="45">
        <f t="shared" ca="1" si="42"/>
        <v>0</v>
      </c>
      <c r="N68" s="45">
        <f t="shared" ca="1" si="42"/>
        <v>0</v>
      </c>
      <c r="O68" s="45">
        <f t="shared" ca="1" si="40"/>
        <v>0</v>
      </c>
      <c r="P68" s="45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 hidden="1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0</v>
      </c>
      <c r="M69" s="38">
        <f t="shared" ca="1" si="43"/>
        <v>0</v>
      </c>
      <c r="N69" s="38">
        <f t="shared" ca="1" si="43"/>
        <v>0</v>
      </c>
      <c r="O69" s="38">
        <f t="shared" ca="1" si="40"/>
        <v>0</v>
      </c>
      <c r="P69" s="3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IFERROR(__xludf.DUMMYFUNCTION("IMPORTRANGE(""https://docs.google.com/spreadsheets/d/1MeEWN-I1oV_STSDYn1IFDPWt_1FKiwhDph83XaGc0o0/edit?usp=sharing"",""งบพรบ!AG81"")"),0)</f>
        <v>0</v>
      </c>
      <c r="M71" s="45">
        <f ca="1">IFERROR(__xludf.DUMMYFUNCTION("IMPORTRANGE(""https://docs.google.com/spreadsheets/d/1MeEWN-I1oV_STSDYn1IFDPWt_1FKiwhDph83XaGc0o0/edit?usp=sharing"",""งบพรบ!AL81"")"),0)</f>
        <v>0</v>
      </c>
      <c r="N71" s="45">
        <f ca="1">IFERROR(__xludf.DUMMYFUNCTION("IMPORTRANGE(""https://docs.google.com/spreadsheets/d/1MeEWN-I1oV_STSDYn1IFDPWt_1FKiwhDph83XaGc0o0/edit?usp=sharing"",""งบพรบ!AN81"")"),0)</f>
        <v>0</v>
      </c>
      <c r="O71" s="45">
        <f t="shared" ca="1" si="40"/>
        <v>0</v>
      </c>
      <c r="P71" s="45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 hidden="1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IFERROR(__xludf.DUMMYFUNCTION("IMPORTRANGE(""https://docs.google.com/spreadsheets/d/1MeEWN-I1oV_STSDYn1IFDPWt_1FKiwhDph83XaGc0o0/edit?usp=sharing"",""งบพรบ!AJ81"")"),0)</f>
        <v>0</v>
      </c>
      <c r="M74" s="45">
        <f ca="1">IFERROR(__xludf.DUMMYFUNCTION("IMPORTRANGE(""https://docs.google.com/spreadsheets/d/1MeEWN-I1oV_STSDYn1IFDPWt_1FKiwhDph83XaGc0o0/edit?usp=sharing"",""งบพรบ!AM81"")"),0)</f>
        <v>0</v>
      </c>
      <c r="N74" s="45">
        <f ca="1">IFERROR(__xludf.DUMMYFUNCTION("IMPORTRANGE(""https://docs.google.com/spreadsheets/d/1MeEWN-I1oV_STSDYn1IFDPWt_1FKiwhDph83XaGc0o0/edit?usp=sharing"",""งบพรบ!AO81"")"),0)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 hidden="1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 hidden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0</v>
      </c>
      <c r="J76" s="37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0</v>
      </c>
      <c r="J77" s="37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9" hidden="1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IFERROR(__xludf.DUMMYFUNCTION("IMPORTRANGE(""https://docs.google.com/spreadsheets/d/1QqKyyYR6Q21VydFLVH3TRQUabQu_ym0Zz7PgGX0-kHA/edit?usp=sharing"",""แผน!H81"")"),0)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 hidden="1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IFERROR(__xludf.DUMMYFUNCTION("IMPORTRANGE(""https://docs.google.com/spreadsheets/d/1QqKyyYR6Q21VydFLVH3TRQUabQu_ym0Zz7PgGX0-kHA/edit?usp=sharing"",""แผน!I81"")"),0)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 hidden="1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IFERROR(__xludf.DUMMYFUNCTION("IMPORTRANGE(""https://docs.google.com/spreadsheets/d/1QqKyyYR6Q21VydFLVH3TRQUabQu_ym0Zz7PgGX0-kHA/edit?usp=sharing"",""แผน!F81"")"),0)</f>
        <v>0</v>
      </c>
      <c r="J80" s="181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9" hidden="1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IFERROR(__xludf.DUMMYFUNCTION("IMPORTRANGE(""https://docs.google.com/spreadsheets/d/1QqKyyYR6Q21VydFLVH3TRQUabQu_ym0Zz7PgGX0-kHA/edit?usp=sharing"",""แผน!G81"")"),0)</f>
        <v>0</v>
      </c>
      <c r="J81" s="181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9" hidden="1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IFERROR(__xludf.DUMMYFUNCTION("IMPORTRANGE(""https://docs.google.com/spreadsheets/d/1QqKyyYR6Q21VydFLVH3TRQUabQu_ym0Zz7PgGX0-kHA/edit?usp=sharing"",""แผน!D81"")"),0)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 hidden="1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IFERROR(__xludf.DUMMYFUNCTION("IMPORTRANGE(""https://docs.google.com/spreadsheets/d/1QqKyyYR6Q21VydFLVH3TRQUabQu_ym0Zz7PgGX0-kHA/edit?usp=sharing"",""แผน!E81"")"),0)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 hidden="1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IFERROR(__xludf.DUMMYFUNCTION("IMPORTRANGE(""https://docs.google.com/spreadsheets/d/1QqKyyYR6Q21VydFLVH3TRQUabQu_ym0Zz7PgGX0-kHA/edit?usp=sharing"",""แผน!J81"")"),0)</f>
        <v>0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333500</v>
      </c>
      <c r="M88" s="154">
        <f t="shared" ca="1" si="49"/>
        <v>333500</v>
      </c>
      <c r="N88" s="154">
        <f t="shared" ca="1" si="49"/>
        <v>214442.78</v>
      </c>
      <c r="O88" s="154">
        <f t="shared" ref="O88:O96" ca="1" si="50">IF(L88&gt;0,N88*100/L88,0)</f>
        <v>64.300683658170911</v>
      </c>
      <c r="P88" s="154">
        <f t="shared" ref="P88:P96" ca="1" si="51">IF(M88&gt;0,N88*100/M88,0)</f>
        <v>64.300683658170911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333500</v>
      </c>
      <c r="M90" s="45">
        <f t="shared" ca="1" si="52"/>
        <v>333500</v>
      </c>
      <c r="N90" s="45">
        <f t="shared" ca="1" si="52"/>
        <v>214442.78</v>
      </c>
      <c r="O90" s="45">
        <f t="shared" ca="1" si="50"/>
        <v>64.300683658170911</v>
      </c>
      <c r="P90" s="45">
        <f t="shared" ca="1" si="51"/>
        <v>64.300683658170911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333500</v>
      </c>
      <c r="M91" s="38">
        <f t="shared" ca="1" si="53"/>
        <v>333500</v>
      </c>
      <c r="N91" s="38">
        <f t="shared" ca="1" si="53"/>
        <v>214442.78</v>
      </c>
      <c r="O91" s="38">
        <f t="shared" ca="1" si="50"/>
        <v>64.300683658170911</v>
      </c>
      <c r="P91" s="38">
        <f t="shared" ca="1" si="51"/>
        <v>64.300683658170911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IFERROR(__xludf.DUMMYFUNCTION("IMPORTRANGE(""https://docs.google.com/spreadsheets/d/1MeEWN-I1oV_STSDYn1IFDPWt_1FKiwhDph83XaGc0o0/edit?usp=sharing"",""งบพรบ!AQ81"")"),333500)</f>
        <v>333500</v>
      </c>
      <c r="M93" s="45">
        <f ca="1">IFERROR(__xludf.DUMMYFUNCTION("IMPORTRANGE(""https://docs.google.com/spreadsheets/d/1MeEWN-I1oV_STSDYn1IFDPWt_1FKiwhDph83XaGc0o0/edit?usp=sharing"",""งบพรบ!AV81"")"),333500)</f>
        <v>333500</v>
      </c>
      <c r="N93" s="45">
        <f ca="1">IFERROR(__xludf.DUMMYFUNCTION("IMPORTRANGE(""https://docs.google.com/spreadsheets/d/1MeEWN-I1oV_STSDYn1IFDPWt_1FKiwhDph83XaGc0o0/edit?usp=sharing"",""งบพรบ!AX81"")"),214442.78)</f>
        <v>214442.78</v>
      </c>
      <c r="O93" s="45">
        <f t="shared" ca="1" si="50"/>
        <v>64.300683658170911</v>
      </c>
      <c r="P93" s="45">
        <f t="shared" ca="1" si="51"/>
        <v>64.300683658170911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IFERROR(__xludf.DUMMYFUNCTION("IMPORTRANGE(""https://docs.google.com/spreadsheets/d/1MeEWN-I1oV_STSDYn1IFDPWt_1FKiwhDph83XaGc0o0/edit?usp=sharing"",""งบพรบ!AT81"")"),0)</f>
        <v>0</v>
      </c>
      <c r="M96" s="45">
        <f ca="1">IFERROR(__xludf.DUMMYFUNCTION("IMPORTRANGE(""https://docs.google.com/spreadsheets/d/1MeEWN-I1oV_STSDYn1IFDPWt_1FKiwhDph83XaGc0o0/edit?usp=sharing"",""งบพรบ!AW81"")"),0)</f>
        <v>0</v>
      </c>
      <c r="N96" s="45">
        <f ca="1">IFERROR(__xludf.DUMMYFUNCTION("IMPORTRANGE(""https://docs.google.com/spreadsheets/d/1MeEWN-I1oV_STSDYn1IFDPWt_1FKiwhDph83XaGc0o0/edit?usp=sharing"",""งบพรบ!AY81"")"),0)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IFERROR(__xludf.DUMMYFUNCTION("IMPORTRANGE(""https://docs.google.com/spreadsheets/d/1QqKyyYR6Q21VydFLVH3TRQUabQu_ym0Zz7PgGX0-kHA/edit?usp=sharing"",""แผน!K81"")"),0)</f>
        <v>0</v>
      </c>
      <c r="J98" s="37">
        <f>J102</f>
        <v>0</v>
      </c>
      <c r="K98" s="38">
        <f t="shared" ref="K98:K100" ca="1" si="55">IF(I98&gt;0,J98*100/I98,0)</f>
        <v>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IFERROR(__xludf.DUMMYFUNCTION("IMPORTRANGE(""https://docs.google.com/spreadsheets/d/1QqKyyYR6Q21VydFLVH3TRQUabQu_ym0Zz7PgGX0-kHA/edit?usp=sharing"",""แผน!L81"")"),0)</f>
        <v>0</v>
      </c>
      <c r="J99" s="37">
        <f>J104</f>
        <v>0</v>
      </c>
      <c r="K99" s="38">
        <f t="shared" ca="1" si="55"/>
        <v>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IFERROR(__xludf.DUMMYFUNCTION("IMPORTRANGE(""https://docs.google.com/spreadsheets/d/1QqKyyYR6Q21VydFLVH3TRQUabQu_ym0Zz7PgGX0-kHA/edit?usp=sharing"",""แผน!M81"")"),1)</f>
        <v>1</v>
      </c>
      <c r="J100" s="37">
        <f>J107+J110</f>
        <v>1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IFERROR(__xludf.DUMMYFUNCTION("IMPORTRANGE(""https://docs.google.com/spreadsheets/d/1QqKyyYR6Q21VydFLVH3TRQUabQu_ym0Zz7PgGX0-kHA/edit?usp=sharing"",""แผน!N81"")"),0)</f>
        <v>0</v>
      </c>
      <c r="J102" s="181">
        <v>0</v>
      </c>
      <c r="K102" s="38">
        <f t="shared" ref="K102:K104" ca="1" si="56">IF(I102&gt;0,J102*100/I102,0)</f>
        <v>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IFERROR(__xludf.DUMMYFUNCTION("IMPORTRANGE(""https://docs.google.com/spreadsheets/d/1QqKyyYR6Q21VydFLVH3TRQUabQu_ym0Zz7PgGX0-kHA/edit?usp=sharing"",""แผน!O81"")"),0)</f>
        <v>0</v>
      </c>
      <c r="J103" s="181">
        <v>0</v>
      </c>
      <c r="K103" s="38">
        <f t="shared" ca="1" si="56"/>
        <v>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IFERROR(__xludf.DUMMYFUNCTION("IMPORTRANGE(""https://docs.google.com/spreadsheets/d/1QqKyyYR6Q21VydFLVH3TRQUabQu_ym0Zz7PgGX0-kHA/edit?usp=sharing"",""แผน!O81"")"),0)</f>
        <v>0</v>
      </c>
      <c r="J104" s="181">
        <v>0</v>
      </c>
      <c r="K104" s="38">
        <f t="shared" ca="1" si="56"/>
        <v>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IFERROR(__xludf.DUMMYFUNCTION("IMPORTRANGE(""https://docs.google.com/spreadsheets/d/1QqKyyYR6Q21VydFLVH3TRQUabQu_ym0Zz7PgGX0-kHA/edit?usp=sharing"",""แผน!P81"")"),1)</f>
        <v>1</v>
      </c>
      <c r="J106" s="181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IFERROR(__xludf.DUMMYFUNCTION("IMPORTRANGE(""https://docs.google.com/spreadsheets/d/1QqKyyYR6Q21VydFLVH3TRQUabQu_ym0Zz7PgGX0-kHA/edit?usp=sharing"",""แผน!P81"")"),1)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IFERROR(__xludf.DUMMYFUNCTION("IMPORTRANGE(""https://docs.google.com/spreadsheets/d/1QqKyyYR6Q21VydFLVH3TRQUabQu_ym0Zz7PgGX0-kHA/edit?usp=sharing"",""แผน!Q81"")"),0)</f>
        <v>0</v>
      </c>
      <c r="J109" s="181">
        <v>0</v>
      </c>
      <c r="K109" s="38">
        <f t="shared" ref="K109:K116" ca="1" si="58">IF(I109&gt;0,J109*100/I109,0)</f>
        <v>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IFERROR(__xludf.DUMMYFUNCTION("IMPORTRANGE(""https://docs.google.com/spreadsheets/d/1QqKyyYR6Q21VydFLVH3TRQUabQu_ym0Zz7PgGX0-kHA/edit?usp=sharing"",""แผน!Q81"")"),0)</f>
        <v>0</v>
      </c>
      <c r="J110" s="181">
        <v>0</v>
      </c>
      <c r="K110" s="38">
        <f t="shared" ca="1" si="58"/>
        <v>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IFERROR(__xludf.DUMMYFUNCTION("IMPORTRANGE(""https://docs.google.com/spreadsheets/d/1QqKyyYR6Q21VydFLVH3TRQUabQu_ym0Zz7PgGX0-kHA/edit?usp=sharing"",""แผน!R81"")"),0)</f>
        <v>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1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IFERROR(__xludf.DUMMYFUNCTION("IMPORTRANGE(""https://docs.google.com/spreadsheets/d/1QqKyyYR6Q21VydFLVH3TRQUabQu_ym0Zz7PgGX0-kHA/edit?usp=sharing"",""แผน!R81"")"),0)</f>
        <v>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IFERROR(__xludf.DUMMYFUNCTION("IMPORTRANGE(""https://docs.google.com/spreadsheets/d/1QqKyyYR6Q21VydFLVH3TRQUabQu_ym0Zz7PgGX0-kHA/edit?usp=sharing"",""แผน!R81"")"),0)</f>
        <v>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IFERROR(__xludf.DUMMYFUNCTION("IMPORTRANGE(""https://docs.google.com/spreadsheets/d/1QqKyyYR6Q21VydFLVH3TRQUabQu_ym0Zz7PgGX0-kHA/edit?usp=sharing"",""แผน!S81"")"),1)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IFERROR(__xludf.DUMMYFUNCTION("IMPORTRANGE(""https://docs.google.com/spreadsheets/d/1QqKyyYR6Q21VydFLVH3TRQUabQu_ym0Zz7PgGX0-kHA/edit?usp=sharing"",""แผน!T81"")"),0)</f>
        <v>0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IFERROR(__xludf.DUMMYFUNCTION("IMPORTRANGE(""https://docs.google.com/spreadsheets/d/1MeEWN-I1oV_STSDYn1IFDPWt_1FKiwhDph83XaGc0o0/edit?usp=sharing"",""งบพรบ!BA81"")"),0)</f>
        <v>0</v>
      </c>
      <c r="M124" s="45">
        <f ca="1">IFERROR(__xludf.DUMMYFUNCTION("IMPORTRANGE(""https://docs.google.com/spreadsheets/d/1MeEWN-I1oV_STSDYn1IFDPWt_1FKiwhDph83XaGc0o0/edit?usp=sharing"",""งบพรบ!BF81"")"),0)</f>
        <v>0</v>
      </c>
      <c r="N124" s="45">
        <f ca="1">IFERROR(__xludf.DUMMYFUNCTION("IMPORTRANGE(""https://docs.google.com/spreadsheets/d/1MeEWN-I1oV_STSDYn1IFDPWt_1FKiwhDph83XaGc0o0/edit?usp=sharing"",""งบพรบ!BH81"")"),0)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IFERROR(__xludf.DUMMYFUNCTION("IMPORTRANGE(""https://docs.google.com/spreadsheets/d/1MeEWN-I1oV_STSDYn1IFDPWt_1FKiwhDph83XaGc0o0/edit?usp=sharing"",""งบพรบ!BD81"")"),0)</f>
        <v>0</v>
      </c>
      <c r="M127" s="45">
        <f ca="1">IFERROR(__xludf.DUMMYFUNCTION("IMPORTRANGE(""https://docs.google.com/spreadsheets/d/1MeEWN-I1oV_STSDYn1IFDPWt_1FKiwhDph83XaGc0o0/edit?usp=sharing"",""งบพรบ!BG81"")"),0)</f>
        <v>0</v>
      </c>
      <c r="N127" s="45">
        <f ca="1">IFERROR(__xludf.DUMMYFUNCTION("IMPORTRANGE(""https://docs.google.com/spreadsheets/d/1MeEWN-I1oV_STSDYn1IFDPWt_1FKiwhDph83XaGc0o0/edit?usp=sharing"",""งบพรบ!BI81"")"),0)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 hidden="1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 hidden="1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 hidden="1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 hidden="1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" hidden="1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0</v>
      </c>
      <c r="M134" s="45">
        <f t="shared" ca="1" si="72"/>
        <v>0</v>
      </c>
      <c r="N134" s="45">
        <f t="shared" ca="1" si="72"/>
        <v>0</v>
      </c>
      <c r="O134" s="45">
        <f t="shared" ca="1" si="70"/>
        <v>0</v>
      </c>
      <c r="P134" s="45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 hidden="1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0</v>
      </c>
      <c r="M135" s="38">
        <f t="shared" ca="1" si="73"/>
        <v>0</v>
      </c>
      <c r="N135" s="38">
        <f t="shared" ca="1" si="73"/>
        <v>0</v>
      </c>
      <c r="O135" s="38">
        <f t="shared" ca="1" si="70"/>
        <v>0</v>
      </c>
      <c r="P135" s="3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IFERROR(__xludf.DUMMYFUNCTION("IMPORTRANGE(""https://docs.google.com/spreadsheets/d/1MeEWN-I1oV_STSDYn1IFDPWt_1FKiwhDph83XaGc0o0/edit?usp=sharing"",""งบพรบ!BK81"")"),0)</f>
        <v>0</v>
      </c>
      <c r="M137" s="45">
        <f ca="1">IFERROR(__xludf.DUMMYFUNCTION("IMPORTRANGE(""https://docs.google.com/spreadsheets/d/1MeEWN-I1oV_STSDYn1IFDPWt_1FKiwhDph83XaGc0o0/edit?usp=sharing"",""งบพรบ!BP81"")"),0)</f>
        <v>0</v>
      </c>
      <c r="N137" s="45">
        <f ca="1">IFERROR(__xludf.DUMMYFUNCTION("IMPORTRANGE(""https://docs.google.com/spreadsheets/d/1MeEWN-I1oV_STSDYn1IFDPWt_1FKiwhDph83XaGc0o0/edit?usp=sharing"",""งบพรบ!BR81"")"),0)</f>
        <v>0</v>
      </c>
      <c r="O137" s="45">
        <f t="shared" ca="1" si="70"/>
        <v>0</v>
      </c>
      <c r="P137" s="45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 hidden="1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0</v>
      </c>
      <c r="M138" s="38">
        <f t="shared" ca="1" si="74"/>
        <v>0</v>
      </c>
      <c r="N138" s="38">
        <f t="shared" ca="1" si="74"/>
        <v>0</v>
      </c>
      <c r="O138" s="38">
        <f t="shared" ca="1" si="70"/>
        <v>0</v>
      </c>
      <c r="P138" s="3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IFERROR(__xludf.DUMMYFUNCTION("IMPORTRANGE(""https://docs.google.com/spreadsheets/d/1MeEWN-I1oV_STSDYn1IFDPWt_1FKiwhDph83XaGc0o0/edit?usp=sharing"",""งบพรบ!BN81"")"),0)</f>
        <v>0</v>
      </c>
      <c r="M140" s="45">
        <f ca="1">IFERROR(__xludf.DUMMYFUNCTION("IMPORTRANGE(""https://docs.google.com/spreadsheets/d/1MeEWN-I1oV_STSDYn1IFDPWt_1FKiwhDph83XaGc0o0/edit?usp=sharing"",""งบพรบ!BQ81"")"),0)</f>
        <v>0</v>
      </c>
      <c r="N140" s="45">
        <f ca="1">IFERROR(__xludf.DUMMYFUNCTION("IMPORTRANGE(""https://docs.google.com/spreadsheets/d/1MeEWN-I1oV_STSDYn1IFDPWt_1FKiwhDph83XaGc0o0/edit?usp=sharing"",""งบพรบ!BS81"")"),0)</f>
        <v>0</v>
      </c>
      <c r="O140" s="45">
        <f t="shared" ca="1" si="70"/>
        <v>0</v>
      </c>
      <c r="P140" s="45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 hidden="1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 hidden="1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 hidden="1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0</v>
      </c>
      <c r="J143" s="37">
        <f ca="1">IF(AND(J144&gt;=I144,J145&gt;=I145),J145,0)</f>
        <v>0</v>
      </c>
      <c r="K143" s="38">
        <f t="shared" ref="K143:K146" ca="1" si="75">IF(I143&gt;0,J143*100/I143,0)</f>
        <v>0</v>
      </c>
      <c r="L143" s="38"/>
      <c r="M143" s="38"/>
      <c r="N143" s="38"/>
      <c r="O143" s="38"/>
      <c r="P143" s="38"/>
    </row>
    <row r="144" spans="1:26" ht="19" hidden="1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IFERROR(__xludf.DUMMYFUNCTION("IMPORTRANGE(""https://docs.google.com/spreadsheets/d/1QqKyyYR6Q21VydFLVH3TRQUabQu_ym0Zz7PgGX0-kHA/edit?usp=sharing"",""แผน!U81"")"),0)</f>
        <v>0</v>
      </c>
      <c r="J144" s="181">
        <v>0</v>
      </c>
      <c r="K144" s="38">
        <f t="shared" ca="1" si="75"/>
        <v>0</v>
      </c>
      <c r="L144" s="38"/>
      <c r="M144" s="38"/>
      <c r="N144" s="38"/>
      <c r="O144" s="38"/>
      <c r="P144" s="38"/>
    </row>
    <row r="145" spans="1:26" ht="19" hidden="1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IFERROR(__xludf.DUMMYFUNCTION("IMPORTRANGE(""https://docs.google.com/spreadsheets/d/1QqKyyYR6Q21VydFLVH3TRQUabQu_ym0Zz7PgGX0-kHA/edit?usp=sharing"",""แผน!V81"")"),0)</f>
        <v>0</v>
      </c>
      <c r="J145" s="181">
        <v>0</v>
      </c>
      <c r="K145" s="38">
        <f t="shared" ca="1" si="75"/>
        <v>0</v>
      </c>
      <c r="L145" s="38"/>
      <c r="M145" s="38"/>
      <c r="N145" s="38"/>
      <c r="O145" s="38"/>
      <c r="P145" s="38"/>
    </row>
    <row r="146" spans="1:26" ht="19" hidden="1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IFERROR(__xludf.DUMMYFUNCTION("IMPORTRANGE(""https://docs.google.com/spreadsheets/d/1QqKyyYR6Q21VydFLVH3TRQUabQu_ym0Zz7PgGX0-kHA/edit?usp=sharing"",""แผน!W81"")"),0)</f>
        <v>0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IFERROR(__xludf.DUMMYFUNCTION("IMPORTRANGE(""https://docs.google.com/spreadsheets/d/1MeEWN-I1oV_STSDYn1IFDPWt_1FKiwhDph83XaGc0o0/edit?usp=sharing"",""งบพรบ!BU81"")"),0)</f>
        <v>0</v>
      </c>
      <c r="M154" s="45">
        <f ca="1">IFERROR(__xludf.DUMMYFUNCTION("IMPORTRANGE(""https://docs.google.com/spreadsheets/d/1MeEWN-I1oV_STSDYn1IFDPWt_1FKiwhDph83XaGc0o0/edit?usp=sharing"",""งบพรบ!BZ81"")"),0)</f>
        <v>0</v>
      </c>
      <c r="N154" s="45">
        <f ca="1">IFERROR(__xludf.DUMMYFUNCTION("IMPORTRANGE(""https://docs.google.com/spreadsheets/d/1MeEWN-I1oV_STSDYn1IFDPWt_1FKiwhDph83XaGc0o0/edit?usp=sharing"",""งบพรบ!CB81"")"),0)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IFERROR(__xludf.DUMMYFUNCTION("IMPORTRANGE(""https://docs.google.com/spreadsheets/d/1MeEWN-I1oV_STSDYn1IFDPWt_1FKiwhDph83XaGc0o0/edit?usp=sharing"",""งบพรบ!BX81"")"),0)</f>
        <v>0</v>
      </c>
      <c r="M157" s="45">
        <f ca="1">IFERROR(__xludf.DUMMYFUNCTION("IMPORTRANGE(""https://docs.google.com/spreadsheets/d/1MeEWN-I1oV_STSDYn1IFDPWt_1FKiwhDph83XaGc0o0/edit?usp=sharing"",""งบพรบ!CA81"")"),0)</f>
        <v>0</v>
      </c>
      <c r="N157" s="45">
        <f ca="1">IFERROR(__xludf.DUMMYFUNCTION("IMPORTRANGE(""https://docs.google.com/spreadsheets/d/1MeEWN-I1oV_STSDYn1IFDPWt_1FKiwhDph83XaGc0o0/edit?usp=sharing"",""งบพรบ!CC81"")"),0)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IFERROR(__xludf.DUMMYFUNCTION("IMPORTRANGE(""https://docs.google.com/spreadsheets/d/1QqKyyYR6Q21VydFLVH3TRQUabQu_ym0Zz7PgGX0-kHA/edit?usp=sharing"",""แผน!X81"")"),0)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13</v>
      </c>
      <c r="J164" s="242">
        <f t="shared" si="83"/>
        <v>13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24065</v>
      </c>
      <c r="M165" s="154">
        <f t="shared" ca="1" si="84"/>
        <v>41055</v>
      </c>
      <c r="N165" s="154">
        <f t="shared" ca="1" si="84"/>
        <v>39810</v>
      </c>
      <c r="O165" s="154">
        <f t="shared" ref="O165:O173" ca="1" si="85">IF(L165&gt;0,N165*100/L165,0)</f>
        <v>165.42696862663618</v>
      </c>
      <c r="P165" s="154">
        <f t="shared" ref="P165:P173" ca="1" si="86">IF(M165&gt;0,N165*100/M165,0)</f>
        <v>96.96748264523201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24065</v>
      </c>
      <c r="M167" s="45">
        <f t="shared" ca="1" si="87"/>
        <v>41055</v>
      </c>
      <c r="N167" s="45">
        <f t="shared" ca="1" si="87"/>
        <v>39810</v>
      </c>
      <c r="O167" s="45">
        <f t="shared" ca="1" si="85"/>
        <v>165.42696862663618</v>
      </c>
      <c r="P167" s="45">
        <f t="shared" ca="1" si="86"/>
        <v>96.96748264523201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24065</v>
      </c>
      <c r="M168" s="38">
        <f t="shared" ca="1" si="88"/>
        <v>41055</v>
      </c>
      <c r="N168" s="38">
        <f t="shared" ca="1" si="88"/>
        <v>39810</v>
      </c>
      <c r="O168" s="38">
        <f t="shared" ca="1" si="85"/>
        <v>165.42696862663618</v>
      </c>
      <c r="P168" s="38">
        <f t="shared" ca="1" si="86"/>
        <v>96.96748264523201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IFERROR(__xludf.DUMMYFUNCTION("IMPORTRANGE(""https://docs.google.com/spreadsheets/d/1MeEWN-I1oV_STSDYn1IFDPWt_1FKiwhDph83XaGc0o0/edit?usp=sharing"",""งบพรบ!CE81"")"),24065)</f>
        <v>24065</v>
      </c>
      <c r="M170" s="45">
        <f ca="1">IFERROR(__xludf.DUMMYFUNCTION("IMPORTRANGE(""https://docs.google.com/spreadsheets/d/1MeEWN-I1oV_STSDYn1IFDPWt_1FKiwhDph83XaGc0o0/edit?usp=sharing"",""งบพรบ!CJ81"")"),41055)</f>
        <v>41055</v>
      </c>
      <c r="N170" s="45">
        <f ca="1">IFERROR(__xludf.DUMMYFUNCTION("IMPORTRANGE(""https://docs.google.com/spreadsheets/d/1MeEWN-I1oV_STSDYn1IFDPWt_1FKiwhDph83XaGc0o0/edit?usp=sharing"",""งบพรบ!CL81"")"),39810)</f>
        <v>39810</v>
      </c>
      <c r="O170" s="45">
        <f t="shared" ca="1" si="85"/>
        <v>165.42696862663618</v>
      </c>
      <c r="P170" s="45">
        <f t="shared" ca="1" si="86"/>
        <v>96.96748264523201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IFERROR(__xludf.DUMMYFUNCTION("IMPORTRANGE(""https://docs.google.com/spreadsheets/d/1MeEWN-I1oV_STSDYn1IFDPWt_1FKiwhDph83XaGc0o0/edit?usp=sharing"",""งบพรบ!CH81"")"),0)</f>
        <v>0</v>
      </c>
      <c r="M173" s="45">
        <f ca="1">IFERROR(__xludf.DUMMYFUNCTION("IMPORTRANGE(""https://docs.google.com/spreadsheets/d/1MeEWN-I1oV_STSDYn1IFDPWt_1FKiwhDph83XaGc0o0/edit?usp=sharing"",""งบพรบ!CK81"")"),0)</f>
        <v>0</v>
      </c>
      <c r="N173" s="45">
        <f ca="1">IFERROR(__xludf.DUMMYFUNCTION("IMPORTRANGE(""https://docs.google.com/spreadsheets/d/1MeEWN-I1oV_STSDYn1IFDPWt_1FKiwhDph83XaGc0o0/edit?usp=sharing"",""งบพรบ!CM81"")"),0)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13</v>
      </c>
      <c r="J174" s="250">
        <f t="shared" si="90"/>
        <v>13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IFERROR(__xludf.DUMMYFUNCTION("IMPORTRANGE(""https://docs.google.com/spreadsheets/d/1QqKyyYR6Q21VydFLVH3TRQUabQu_ym0Zz7PgGX0-kHA/edit?usp=sharing"",""แผน!Y81"")"),13)</f>
        <v>13</v>
      </c>
      <c r="J176" s="181">
        <v>13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45000</v>
      </c>
      <c r="M181" s="154">
        <f t="shared" ca="1" si="92"/>
        <v>63440</v>
      </c>
      <c r="N181" s="154">
        <f t="shared" ca="1" si="92"/>
        <v>41382</v>
      </c>
      <c r="O181" s="154">
        <f t="shared" ref="O181:O189" ca="1" si="93">IF(L181&gt;0,N181*100/L181,0)</f>
        <v>91.96</v>
      </c>
      <c r="P181" s="154">
        <f t="shared" ref="P181:P189" ca="1" si="94">IF(M181&gt;0,N181*100/M181,0)</f>
        <v>65.230138713745276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45000</v>
      </c>
      <c r="M183" s="45">
        <f t="shared" ca="1" si="95"/>
        <v>63440</v>
      </c>
      <c r="N183" s="45">
        <f t="shared" ca="1" si="95"/>
        <v>41382</v>
      </c>
      <c r="O183" s="45">
        <f t="shared" ca="1" si="93"/>
        <v>91.96</v>
      </c>
      <c r="P183" s="45">
        <f t="shared" ca="1" si="94"/>
        <v>65.230138713745276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45000</v>
      </c>
      <c r="M184" s="38">
        <f t="shared" ca="1" si="96"/>
        <v>63440</v>
      </c>
      <c r="N184" s="38">
        <f t="shared" ca="1" si="96"/>
        <v>41382</v>
      </c>
      <c r="O184" s="38">
        <f t="shared" ca="1" si="93"/>
        <v>91.96</v>
      </c>
      <c r="P184" s="38">
        <f t="shared" ca="1" si="94"/>
        <v>65.230138713745276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IFERROR(__xludf.DUMMYFUNCTION("IMPORTRANGE(""https://docs.google.com/spreadsheets/d/1MeEWN-I1oV_STSDYn1IFDPWt_1FKiwhDph83XaGc0o0/edit?usp=sharing"",""งบพรบ!CO81"")"),45000)</f>
        <v>45000</v>
      </c>
      <c r="M186" s="45">
        <f ca="1">IFERROR(__xludf.DUMMYFUNCTION("IMPORTRANGE(""https://docs.google.com/spreadsheets/d/1MeEWN-I1oV_STSDYn1IFDPWt_1FKiwhDph83XaGc0o0/edit?usp=sharing"",""งบพรบ!CT81"")"),63440)</f>
        <v>63440</v>
      </c>
      <c r="N186" s="45">
        <f ca="1">IFERROR(__xludf.DUMMYFUNCTION("IMPORTRANGE(""https://docs.google.com/spreadsheets/d/1MeEWN-I1oV_STSDYn1IFDPWt_1FKiwhDph83XaGc0o0/edit?usp=sharing"",""งบพรบ!CV81"")"),41382)</f>
        <v>41382</v>
      </c>
      <c r="O186" s="45">
        <f t="shared" ca="1" si="93"/>
        <v>91.96</v>
      </c>
      <c r="P186" s="45">
        <f t="shared" ca="1" si="94"/>
        <v>65.230138713745276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IFERROR(__xludf.DUMMYFUNCTION("IMPORTRANGE(""https://docs.google.com/spreadsheets/d/1MeEWN-I1oV_STSDYn1IFDPWt_1FKiwhDph83XaGc0o0/edit?usp=sharing"",""งบพรบ!CR81"")"),0)</f>
        <v>0</v>
      </c>
      <c r="M189" s="45">
        <f ca="1">IFERROR(__xludf.DUMMYFUNCTION("IMPORTRANGE(""https://docs.google.com/spreadsheets/d/1MeEWN-I1oV_STSDYn1IFDPWt_1FKiwhDph83XaGc0o0/edit?usp=sharing"",""งบพรบ!CU81"")"),0)</f>
        <v>0</v>
      </c>
      <c r="N189" s="45">
        <f ca="1">IFERROR(__xludf.DUMMYFUNCTION("IMPORTRANGE(""https://docs.google.com/spreadsheets/d/1MeEWN-I1oV_STSDYn1IFDPWt_1FKiwhDph83XaGc0o0/edit?usp=sharing"",""งบพรบ!CW81"")"),0)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2</v>
      </c>
      <c r="K190" s="261">
        <f ca="1">IF(I190&gt;0,J190*100/I190,0)</f>
        <v>50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IFERROR(__xludf.DUMMYFUNCTION("IMPORTRANGE(""https://docs.google.com/spreadsheets/d/1QqKyyYR6Q21VydFLVH3TRQUabQu_ym0Zz7PgGX0-kHA/edit?usp=sharing"",""แผน!Z81"")"),6000)</f>
        <v>6000</v>
      </c>
      <c r="M191" s="154"/>
      <c r="N191" s="264">
        <v>2830</v>
      </c>
      <c r="O191" s="154">
        <f ca="1">IF(L191&gt;0,N191*100/L191,0)</f>
        <v>47.166666666666664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IFERROR(__xludf.DUMMYFUNCTION("IMPORTRANGE(""https://docs.google.com/spreadsheets/d/1QqKyyYR6Q21VydFLVH3TRQUabQu_ym0Zz7PgGX0-kHA/edit?usp=sharing"",""แผน!AC81"")"),4)</f>
        <v>4</v>
      </c>
      <c r="J193" s="181">
        <v>2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40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40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31000</v>
      </c>
      <c r="M198" s="154"/>
      <c r="N198" s="154">
        <f>N199+N200+N201+N202</f>
        <v>18000</v>
      </c>
      <c r="O198" s="154">
        <f ca="1">IF(L198&gt;0,N198*100/L198,0)</f>
        <v>58.064516129032256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IFERROR(__xludf.DUMMYFUNCTION("IMPORTRANGE(""https://docs.google.com/spreadsheets/d/1QqKyyYR6Q21VydFLVH3TRQUabQu_ym0Zz7PgGX0-kHA/edit?usp=sharing"",""แผน!AE81"")"),2000)</f>
        <v>2000</v>
      </c>
      <c r="M199" s="38"/>
      <c r="N199" s="270">
        <v>2000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IFERROR(__xludf.DUMMYFUNCTION("IMPORTRANGE(""https://docs.google.com/spreadsheets/d/1QqKyyYR6Q21VydFLVH3TRQUabQu_ym0Zz7PgGX0-kHA/edit?usp=sharing"",""แผน!AF81"")"),16000)</f>
        <v>16000</v>
      </c>
      <c r="M200" s="38"/>
      <c r="N200" s="270">
        <v>16000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IFERROR(__xludf.DUMMYFUNCTION("IMPORTRANGE(""https://docs.google.com/spreadsheets/d/1QqKyyYR6Q21VydFLVH3TRQUabQu_ym0Zz7PgGX0-kHA/edit?usp=sharing"",""แผน!AG81"")"),8000)</f>
        <v>8000</v>
      </c>
      <c r="M201" s="38"/>
      <c r="N201" s="270">
        <v>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IFERROR(__xludf.DUMMYFUNCTION("IMPORTRANGE(""https://docs.google.com/spreadsheets/d/1QqKyyYR6Q21VydFLVH3TRQUabQu_ym0Zz7PgGX0-kHA/edit?usp=sharing"",""แผน!AH81"")"),5000)</f>
        <v>5000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IFERROR(__xludf.DUMMYFUNCTION("IMPORTRANGE(""https://docs.google.com/spreadsheets/d/1QqKyyYR6Q21VydFLVH3TRQUabQu_ym0Zz7PgGX0-kHA/edit?usp=sharing"",""แผน!AI81"")"),2)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0</v>
      </c>
      <c r="K206" s="162">
        <f t="shared" ref="K206:K208" si="100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1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IFERROR(__xludf.DUMMYFUNCTION("IMPORTRANGE(""https://docs.google.com/spreadsheets/d/1QqKyyYR6Q21VydFLVH3TRQUabQu_ym0Zz7PgGX0-kHA/edit?usp=sharing"",""แผน!AK81"")"),0)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IFERROR(__xludf.DUMMYFUNCTION("IMPORTRANGE(""https://docs.google.com/spreadsheets/d/1QqKyyYR6Q21VydFLVH3TRQUabQu_ym0Zz7PgGX0-kHA/edit?usp=sharing"",""แผน!AL81"")"),0)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IFERROR(__xludf.DUMMYFUNCTION("IMPORTRANGE(""https://docs.google.com/spreadsheets/d/1QqKyyYR6Q21VydFLVH3TRQUabQu_ym0Zz7PgGX0-kHA/edit?usp=sharing"",""แผน!AM81"")"),0)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IFERROR(__xludf.DUMMYFUNCTION("IMPORTRANGE(""https://docs.google.com/spreadsheets/d/1QqKyyYR6Q21VydFLVH3TRQUabQu_ym0Zz7PgGX0-kHA/edit?usp=sharing"",""แผน!AN81"")"),0)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IFERROR(__xludf.DUMMYFUNCTION("IMPORTRANGE(""https://docs.google.com/spreadsheets/d/1QqKyyYR6Q21VydFLVH3TRQUabQu_ym0Zz7PgGX0-kHA/edit?usp=sharing"",""แผน!AN81"")"),0)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20000</v>
      </c>
      <c r="J216" s="260">
        <f t="shared" si="103"/>
        <v>20000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8000</v>
      </c>
      <c r="M217" s="154"/>
      <c r="N217" s="154">
        <f>N218+N219+N220</f>
        <v>2000</v>
      </c>
      <c r="O217" s="154">
        <f ca="1">IF(L217&gt;0,N217*100/L217,0)</f>
        <v>25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IFERROR(__xludf.DUMMYFUNCTION("IMPORTRANGE(""https://docs.google.com/spreadsheets/d/1QqKyyYR6Q21VydFLVH3TRQUabQu_ym0Zz7PgGX0-kHA/edit?usp=sharing"",""แผน!AP81"")"),3000)</f>
        <v>3000</v>
      </c>
      <c r="M218" s="38"/>
      <c r="N218" s="270">
        <v>2000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IFERROR(__xludf.DUMMYFUNCTION("IMPORTRANGE(""https://docs.google.com/spreadsheets/d/1QqKyyYR6Q21VydFLVH3TRQUabQu_ym0Zz7PgGX0-kHA/edit?usp=sharing"",""แผน!AQ81"")"),5000)</f>
        <v>5000</v>
      </c>
      <c r="M219" s="38"/>
      <c r="N219" s="270">
        <v>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IFERROR(__xludf.DUMMYFUNCTION("IMPORTRANGE(""https://docs.google.com/spreadsheets/d/1QqKyyYR6Q21VydFLVH3TRQUabQu_ym0Zz7PgGX0-kHA/edit?usp=sharing"",""แผน!AR81"")"),0)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IFERROR(__xludf.DUMMYFUNCTION("IMPORTRANGE(""https://docs.google.com/spreadsheets/d/1QqKyyYR6Q21VydFLVH3TRQUabQu_ym0Zz7PgGX0-kHA/edit?usp=sharing"",""แผน!AT81"")"),20000)</f>
        <v>20000</v>
      </c>
      <c r="J223" s="181">
        <v>20000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IFERROR(__xludf.DUMMYFUNCTION("IMPORTRANGE(""https://docs.google.com/spreadsheets/d/1QqKyyYR6Q21VydFLVH3TRQUabQu_ym0Zz7PgGX0-kHA/edit?usp=sharing"",""แผน!AT81"")"),20000)</f>
        <v>20000</v>
      </c>
      <c r="J224" s="181">
        <v>20000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IFERROR(__xludf.DUMMYFUNCTION("IMPORTRANGE(""https://docs.google.com/spreadsheets/d/1QqKyyYR6Q21VydFLVH3TRQUabQu_ym0Zz7PgGX0-kHA/edit?usp=sharing"",""แผน!AS81"")"),0)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IFERROR(__xludf.DUMMYFUNCTION("IMPORTRANGE(""https://docs.google.com/spreadsheets/d/1QqKyyYR6Q21VydFLVH3TRQUabQu_ym0Zz7PgGX0-kHA/edit?usp=sharing"",""แผน!AV81"")"),0)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IFERROR(__xludf.DUMMYFUNCTION("IMPORTRANGE(""https://docs.google.com/spreadsheets/d/1QqKyyYR6Q21VydFLVH3TRQUabQu_ym0Zz7PgGX0-kHA/edit?usp=sharing"",""แผน!AW81"")"),0)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IFERROR(__xludf.DUMMYFUNCTION("IMPORTRANGE(""https://docs.google.com/spreadsheets/d/1QqKyyYR6Q21VydFLVH3TRQUabQu_ym0Zz7PgGX0-kHA/edit?usp=sharing"",""แผน!AX81"")"),0)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IFERROR(__xludf.DUMMYFUNCTION("IMPORTRANGE(""https://docs.google.com/spreadsheets/d/1QqKyyYR6Q21VydFLVH3TRQUabQu_ym0Zz7PgGX0-kHA/edit?usp=sharing"",""แผน!AY81"")"),0)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IFERROR(__xludf.DUMMYFUNCTION("IMPORTRANGE(""https://docs.google.com/spreadsheets/d/1QqKyyYR6Q21VydFLVH3TRQUabQu_ym0Zz7PgGX0-kHA/edit?usp=sharing"",""แผน!BE81"")"),0)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IFERROR(__xludf.DUMMYFUNCTION("IMPORTRANGE(""https://docs.google.com/spreadsheets/d/1QqKyyYR6Q21VydFLVH3TRQUabQu_ym0Zz7PgGX0-kHA/edit?usp=sharing"",""แผน!AZ81"")"),0)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IFERROR(__xludf.DUMMYFUNCTION("IMPORTRANGE(""https://docs.google.com/spreadsheets/d/1QqKyyYR6Q21VydFLVH3TRQUabQu_ym0Zz7PgGX0-kHA/edit?usp=sharing"",""แผน!BA81"")"),0)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IFERROR(__xludf.DUMMYFUNCTION("IMPORTRANGE(""https://docs.google.com/spreadsheets/d/1QqKyyYR6Q21VydFLVH3TRQUabQu_ym0Zz7PgGX0-kHA/edit?usp=sharing"",""แผน!BB81"")"),0)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IFERROR(__xludf.DUMMYFUNCTION("IMPORTRANGE(""https://docs.google.com/spreadsheets/d/1QqKyyYR6Q21VydFLVH3TRQUabQu_ym0Zz7PgGX0-kHA/edit?usp=sharing"",""แผน!BC81"")"),0)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IFERROR(__xludf.DUMMYFUNCTION("IMPORTRANGE(""https://docs.google.com/spreadsheets/d/1QqKyyYR6Q21VydFLVH3TRQUabQu_ym0Zz7PgGX0-kHA/edit?usp=sharing"",""แผน!BF81"")"),0)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22</v>
      </c>
      <c r="J260" s="242">
        <f t="shared" si="115"/>
        <v>0</v>
      </c>
      <c r="K260" s="243">
        <f ca="1">IF(I260&gt;0,J260*100/I260,0)</f>
        <v>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0</v>
      </c>
      <c r="O261" s="154">
        <f t="shared" ref="O261:O269" ca="1" si="117">IF(L261&gt;0,N261*100/L261,0)</f>
        <v>0</v>
      </c>
      <c r="P261" s="154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26900</v>
      </c>
      <c r="M263" s="45">
        <f t="shared" ca="1" si="119"/>
        <v>26900</v>
      </c>
      <c r="N263" s="45">
        <f t="shared" ca="1" si="119"/>
        <v>0</v>
      </c>
      <c r="O263" s="45">
        <f t="shared" ca="1" si="117"/>
        <v>0</v>
      </c>
      <c r="P263" s="45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26900</v>
      </c>
      <c r="M264" s="38">
        <f t="shared" ca="1" si="120"/>
        <v>26900</v>
      </c>
      <c r="N264" s="38">
        <f t="shared" ca="1" si="120"/>
        <v>0</v>
      </c>
      <c r="O264" s="38">
        <f t="shared" ca="1" si="117"/>
        <v>0</v>
      </c>
      <c r="P264" s="3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IFERROR(__xludf.DUMMYFUNCTION("IMPORTRANGE(""https://docs.google.com/spreadsheets/d/1MeEWN-I1oV_STSDYn1IFDPWt_1FKiwhDph83XaGc0o0/edit?usp=sharing"",""งบพรบ!CY81"")"),26900)</f>
        <v>26900</v>
      </c>
      <c r="M266" s="45">
        <f ca="1">IFERROR(__xludf.DUMMYFUNCTION("IMPORTRANGE(""https://docs.google.com/spreadsheets/d/1MeEWN-I1oV_STSDYn1IFDPWt_1FKiwhDph83XaGc0o0/edit?usp=sharing"",""งบพรบ!DD81"")"),26900)</f>
        <v>26900</v>
      </c>
      <c r="N266" s="45">
        <f ca="1">IFERROR(__xludf.DUMMYFUNCTION("IMPORTRANGE(""https://docs.google.com/spreadsheets/d/1MeEWN-I1oV_STSDYn1IFDPWt_1FKiwhDph83XaGc0o0/edit?usp=sharing"",""งบพรบ!DF81"")"),0)</f>
        <v>0</v>
      </c>
      <c r="O266" s="45">
        <f t="shared" ca="1" si="117"/>
        <v>0</v>
      </c>
      <c r="P266" s="45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IFERROR(__xludf.DUMMYFUNCTION("IMPORTRANGE(""https://docs.google.com/spreadsheets/d/1MeEWN-I1oV_STSDYn1IFDPWt_1FKiwhDph83XaGc0o0/edit?usp=sharing"",""งบพรบ!DB81"")"),0)</f>
        <v>0</v>
      </c>
      <c r="M269" s="45">
        <f ca="1">IFERROR(__xludf.DUMMYFUNCTION("IMPORTRANGE(""https://docs.google.com/spreadsheets/d/1MeEWN-I1oV_STSDYn1IFDPWt_1FKiwhDph83XaGc0o0/edit?usp=sharing"",""งบพรบ!DE81"")"),0)</f>
        <v>0</v>
      </c>
      <c r="N269" s="45">
        <f ca="1">IFERROR(__xludf.DUMMYFUNCTION("IMPORTRANGE(""https://docs.google.com/spreadsheets/d/1MeEWN-I1oV_STSDYn1IFDPWt_1FKiwhDph83XaGc0o0/edit?usp=sharing"",""งบพรบ!DG81"")"),0)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IFERROR(__xludf.DUMMYFUNCTION("IMPORTRANGE(""https://docs.google.com/spreadsheets/d/1QqKyyYR6Q21VydFLVH3TRQUabQu_ym0Zz7PgGX0-kHA/edit?usp=sharing"",""แผน!EA81"")"),22)</f>
        <v>22</v>
      </c>
      <c r="J271" s="181">
        <v>0</v>
      </c>
      <c r="K271" s="162">
        <f ca="1">IF(I271&gt;0,J271*100/I271,0)</f>
        <v>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4">I287</f>
        <v>0</v>
      </c>
      <c r="J276" s="39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IFERROR(__xludf.DUMMYFUNCTION("IMPORTRANGE(""https://docs.google.com/spreadsheets/d/1MeEWN-I1oV_STSDYn1IFDPWt_1FKiwhDph83XaGc0o0/edit?usp=sharing"",""งบพรบ!DI81"")"),0)</f>
        <v>0</v>
      </c>
      <c r="M282" s="45">
        <f ca="1">IFERROR(__xludf.DUMMYFUNCTION("IMPORTRANGE(""https://docs.google.com/spreadsheets/d/1MeEWN-I1oV_STSDYn1IFDPWt_1FKiwhDph83XaGc0o0/edit?usp=sharing"",""งบพรบ!DN81"")"),0)</f>
        <v>0</v>
      </c>
      <c r="N282" s="45">
        <f ca="1">IFERROR(__xludf.DUMMYFUNCTION("IMPORTRANGE(""https://docs.google.com/spreadsheets/d/1MeEWN-I1oV_STSDYn1IFDPWt_1FKiwhDph83XaGc0o0/edit?usp=sharing"",""งบพรบ!DP81"")"),0)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IFERROR(__xludf.DUMMYFUNCTION("IMPORTRANGE(""https://docs.google.com/spreadsheets/d/1MeEWN-I1oV_STSDYn1IFDPWt_1FKiwhDph83XaGc0o0/edit?usp=sharing"",""งบพรบ!DL81"")"),0)</f>
        <v>0</v>
      </c>
      <c r="M285" s="45">
        <f ca="1">IFERROR(__xludf.DUMMYFUNCTION("IMPORTRANGE(""https://docs.google.com/spreadsheets/d/1MeEWN-I1oV_STSDYn1IFDPWt_1FKiwhDph83XaGc0o0/edit?usp=sharing"",""งบพรบ!DO81"")"),0)</f>
        <v>0</v>
      </c>
      <c r="N285" s="45">
        <f ca="1">IFERROR(__xludf.DUMMYFUNCTION("IMPORTRANGE(""https://docs.google.com/spreadsheets/d/1MeEWN-I1oV_STSDYn1IFDPWt_1FKiwhDph83XaGc0o0/edit?usp=sharing"",""งบพรบ!DQ81"")"),0)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IFERROR(__xludf.DUMMYFUNCTION("IMPORTRANGE(""https://docs.google.com/spreadsheets/d/1QqKyyYR6Q21VydFLVH3TRQUabQu_ym0Zz7PgGX0-kHA/edit?usp=sharing"",""แผน!EC81"")"),0)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IFERROR(__xludf.DUMMYFUNCTION("IMPORTRANGE(""https://docs.google.com/spreadsheets/d/1QqKyyYR6Q21VydFLVH3TRQUabQu_ym0Zz7PgGX0-kHA/edit?usp=sharing"",""แผน!EB81"")"),0)</f>
        <v>0</v>
      </c>
      <c r="J288" s="190">
        <f ca="1">IF(AND(J291&gt;=I288,J294&gt;=I288),J294,0)</f>
        <v>0</v>
      </c>
      <c r="K288" s="391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IFERROR(__xludf.DUMMYFUNCTION("IMPORTRANGE(""https://docs.google.com/spreadsheets/d/1QqKyyYR6Q21VydFLVH3TRQUabQu_ym0Zz7PgGX0-kHA/edit?usp=sharing"",""แผน!EB81"")"),0)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337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IFERROR(__xludf.DUMMYFUNCTION("IMPORTRANGE(""https://docs.google.com/spreadsheets/d/1QqKyyYR6Q21VydFLVH3TRQUabQu_ym0Zz7PgGX0-kHA/edit?usp=sharing"",""แผน!EB81"")"),0)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IFERROR(__xludf.DUMMYFUNCTION("IMPORTRANGE(""https://docs.google.com/spreadsheets/d/1QqKyyYR6Q21VydFLVH3TRQUabQu_ym0Zz7PgGX0-kHA/edit?usp=sharing"",""แผน!EB81"")"),0)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9" t="s">
        <v>337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IFERROR(__xludf.DUMMYFUNCTION("IMPORTRANGE(""https://docs.google.com/spreadsheets/d/1QqKyyYR6Q21VydFLVH3TRQUabQu_ym0Zz7PgGX0-kHA/edit?usp=sharing"",""แผน!EB81"")"),0)</f>
        <v>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 hidden="1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 hidden="1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0</v>
      </c>
      <c r="J297" s="421">
        <f t="shared" si="134"/>
        <v>0</v>
      </c>
      <c r="K297" s="422">
        <f ca="1">IF(I297&gt;0,J297*100/I297,0)</f>
        <v>0</v>
      </c>
      <c r="L297" s="423"/>
      <c r="M297" s="423"/>
      <c r="N297" s="423"/>
      <c r="O297" s="423"/>
      <c r="P297" s="423"/>
    </row>
    <row r="298" spans="1:26" ht="19" hidden="1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0</v>
      </c>
      <c r="M300" s="45">
        <f t="shared" ca="1" si="138"/>
        <v>0</v>
      </c>
      <c r="N300" s="45">
        <f t="shared" ca="1" si="138"/>
        <v>0</v>
      </c>
      <c r="O300" s="45">
        <f t="shared" ca="1" si="136"/>
        <v>0</v>
      </c>
      <c r="P300" s="45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 hidden="1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0</v>
      </c>
      <c r="M301" s="38">
        <f t="shared" ca="1" si="139"/>
        <v>0</v>
      </c>
      <c r="N301" s="38">
        <f t="shared" ca="1" si="139"/>
        <v>0</v>
      </c>
      <c r="O301" s="38">
        <f t="shared" ca="1" si="136"/>
        <v>0</v>
      </c>
      <c r="P301" s="3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IFERROR(__xludf.DUMMYFUNCTION("IMPORTRANGE(""https://docs.google.com/spreadsheets/d/1MeEWN-I1oV_STSDYn1IFDPWt_1FKiwhDph83XaGc0o0/edit?usp=sharing"",""งบพรบ!DS81"")"),0)</f>
        <v>0</v>
      </c>
      <c r="M303" s="45">
        <f ca="1">IFERROR(__xludf.DUMMYFUNCTION("IMPORTRANGE(""https://docs.google.com/spreadsheets/d/1MeEWN-I1oV_STSDYn1IFDPWt_1FKiwhDph83XaGc0o0/edit?usp=sharing"",""งบพรบ!DX81"")"),0)</f>
        <v>0</v>
      </c>
      <c r="N303" s="45">
        <f ca="1">IFERROR(__xludf.DUMMYFUNCTION("IMPORTRANGE(""https://docs.google.com/spreadsheets/d/1MeEWN-I1oV_STSDYn1IFDPWt_1FKiwhDph83XaGc0o0/edit?usp=sharing"",""งบพรบ!DZ81"")"),0)</f>
        <v>0</v>
      </c>
      <c r="O303" s="45">
        <f t="shared" ca="1" si="136"/>
        <v>0</v>
      </c>
      <c r="P303" s="45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 hidden="1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IFERROR(__xludf.DUMMYFUNCTION("IMPORTRANGE(""https://docs.google.com/spreadsheets/d/1MeEWN-I1oV_STSDYn1IFDPWt_1FKiwhDph83XaGc0o0/edit?usp=sharing"",""งบพรบ!DV81"")"),0)</f>
        <v>0</v>
      </c>
      <c r="M306" s="45">
        <f ca="1">IFERROR(__xludf.DUMMYFUNCTION("IMPORTRANGE(""https://docs.google.com/spreadsheets/d/1MeEWN-I1oV_STSDYn1IFDPWt_1FKiwhDph83XaGc0o0/edit?usp=sharing"",""งบพรบ!DY81"")"),0)</f>
        <v>0</v>
      </c>
      <c r="N306" s="45">
        <f ca="1">IFERROR(__xludf.DUMMYFUNCTION("IMPORTRANGE(""https://docs.google.com/spreadsheets/d/1MeEWN-I1oV_STSDYn1IFDPWt_1FKiwhDph83XaGc0o0/edit?usp=sharing"",""งบพรบ!EA81"")"),0)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 hidden="1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 hidden="1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 hidden="1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IFERROR(__xludf.DUMMYFUNCTION("IMPORTRANGE(""https://docs.google.com/spreadsheets/d/1QqKyyYR6Q21VydFLVH3TRQUabQu_ym0Zz7PgGX0-kHA/edit?usp=sharing"",""แผน!ED81"")"),0)</f>
        <v>0</v>
      </c>
      <c r="J309" s="181">
        <v>0</v>
      </c>
      <c r="K309" s="38">
        <f t="shared" ref="K309:K312" ca="1" si="141">IF(I309&gt;0,J309*100/I309,0)</f>
        <v>0</v>
      </c>
      <c r="L309" s="38"/>
      <c r="M309" s="38"/>
      <c r="N309" s="38"/>
      <c r="O309" s="38"/>
      <c r="P309" s="38"/>
    </row>
    <row r="310" spans="1:26" ht="19" hidden="1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IFERROR(__xludf.DUMMYFUNCTION("IMPORTRANGE(""https://docs.google.com/spreadsheets/d/1QqKyyYR6Q21VydFLVH3TRQUabQu_ym0Zz7PgGX0-kHA/edit?usp=sharing"",""แผน!ED81"")"),0)</f>
        <v>0</v>
      </c>
      <c r="J310" s="181">
        <v>0</v>
      </c>
      <c r="K310" s="38">
        <f t="shared" ca="1" si="141"/>
        <v>0</v>
      </c>
      <c r="L310" s="38"/>
      <c r="M310" s="38"/>
      <c r="N310" s="38"/>
      <c r="O310" s="38"/>
      <c r="P310" s="38"/>
    </row>
    <row r="311" spans="1:26" ht="19" hidden="1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IFERROR(__xludf.DUMMYFUNCTION("IMPORTRANGE(""https://docs.google.com/spreadsheets/d/1QqKyyYR6Q21VydFLVH3TRQUabQu_ym0Zz7PgGX0-kHA/edit?usp=sharing"",""แผน!ED81"")"),0)</f>
        <v>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 hidden="1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IFERROR(__xludf.DUMMYFUNCTION("IMPORTRANGE(""https://docs.google.com/spreadsheets/d/1QqKyyYR6Q21VydFLVH3TRQUabQu_ym0Zz7PgGX0-kHA/edit?usp=sharing"",""แผน!EE81"")"),0)</f>
        <v>0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IFERROR(__xludf.DUMMYFUNCTION("IMPORTRANGE(""https://docs.google.com/spreadsheets/d/1MeEWN-I1oV_STSDYn1IFDPWt_1FKiwhDph83XaGc0o0/edit?usp=sharing"",""งบพรบ!EC81"")"),0)</f>
        <v>0</v>
      </c>
      <c r="M320" s="45">
        <f ca="1">IFERROR(__xludf.DUMMYFUNCTION("IMPORTRANGE(""https://docs.google.com/spreadsheets/d/1MeEWN-I1oV_STSDYn1IFDPWt_1FKiwhDph83XaGc0o0/edit?usp=sharing"",""งบพรบ!EH81"")"),0)</f>
        <v>0</v>
      </c>
      <c r="N320" s="45">
        <f ca="1">IFERROR(__xludf.DUMMYFUNCTION("IMPORTRANGE(""https://docs.google.com/spreadsheets/d/1MeEWN-I1oV_STSDYn1IFDPWt_1FKiwhDph83XaGc0o0/edit?usp=sharing"",""งบพรบ!EJ81"")"),0)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IFERROR(__xludf.DUMMYFUNCTION("IMPORTRANGE(""https://docs.google.com/spreadsheets/d/1MeEWN-I1oV_STSDYn1IFDPWt_1FKiwhDph83XaGc0o0/edit?usp=sharing"",""งบพรบ!EF81"")"),0)</f>
        <v>0</v>
      </c>
      <c r="M323" s="45">
        <f ca="1">IFERROR(__xludf.DUMMYFUNCTION("IMPORTRANGE(""https://docs.google.com/spreadsheets/d/1MeEWN-I1oV_STSDYn1IFDPWt_1FKiwhDph83XaGc0o0/edit?usp=sharing"",""งบพรบ!EI81"")"),0)</f>
        <v>0</v>
      </c>
      <c r="N323" s="45">
        <f ca="1">IFERROR(__xludf.DUMMYFUNCTION("IMPORTRANGE(""https://docs.google.com/spreadsheets/d/1MeEWN-I1oV_STSDYn1IFDPWt_1FKiwhDph83XaGc0o0/edit?usp=sharing"",""งบพรบ!EK81"")"),0)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IFERROR(__xludf.DUMMYFUNCTION("IMPORTRANGE(""https://docs.google.com/spreadsheets/d/1QqKyyYR6Q21VydFLVH3TRQUabQu_ym0Zz7PgGX0-kHA/edit?usp=sharing"",""แผน!EF81"")"),0)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IFERROR(__xludf.DUMMYFUNCTION("IMPORTRANGE(""https://docs.google.com/spreadsheets/d/1QqKyyYR6Q21VydFLVH3TRQUabQu_ym0Zz7PgGX0-kHA/edit?usp=sharing"",""แผน!EG81"")"),800)</f>
        <v>800</v>
      </c>
      <c r="J327" s="421">
        <f ca="1">J338+J341+J342+J343</f>
        <v>1332</v>
      </c>
      <c r="K327" s="422">
        <f ca="1">IF(I327&gt;0,J327*100/I327,0)</f>
        <v>166.5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163000</v>
      </c>
      <c r="M328" s="154">
        <f t="shared" ca="1" si="149"/>
        <v>165500</v>
      </c>
      <c r="N328" s="154">
        <f t="shared" ca="1" si="149"/>
        <v>93207.33</v>
      </c>
      <c r="O328" s="154">
        <f t="shared" ref="O328:O336" ca="1" si="150">IF(L328&gt;0,N328*100/L328,0)</f>
        <v>57.182411042944786</v>
      </c>
      <c r="P328" s="154">
        <f t="shared" ref="P328:P336" ca="1" si="151">IF(M328&gt;0,N328*100/M328,0)</f>
        <v>56.318628398791539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163000</v>
      </c>
      <c r="M330" s="45">
        <f t="shared" ca="1" si="152"/>
        <v>165500</v>
      </c>
      <c r="N330" s="45">
        <f t="shared" ca="1" si="152"/>
        <v>93207.33</v>
      </c>
      <c r="O330" s="45">
        <f t="shared" ca="1" si="150"/>
        <v>57.182411042944786</v>
      </c>
      <c r="P330" s="45">
        <f t="shared" ca="1" si="151"/>
        <v>56.318628398791539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163000</v>
      </c>
      <c r="M331" s="38">
        <f t="shared" ca="1" si="153"/>
        <v>165500</v>
      </c>
      <c r="N331" s="38">
        <f t="shared" ca="1" si="153"/>
        <v>93207.33</v>
      </c>
      <c r="O331" s="38">
        <f t="shared" ca="1" si="150"/>
        <v>57.182411042944786</v>
      </c>
      <c r="P331" s="38">
        <f t="shared" ca="1" si="151"/>
        <v>56.318628398791539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IFERROR(__xludf.DUMMYFUNCTION("IMPORTRANGE(""https://docs.google.com/spreadsheets/d/1MeEWN-I1oV_STSDYn1IFDPWt_1FKiwhDph83XaGc0o0/edit?usp=sharing"",""งบพรบ!EM81"")"),163000)</f>
        <v>163000</v>
      </c>
      <c r="M333" s="45">
        <f ca="1">IFERROR(__xludf.DUMMYFUNCTION("IMPORTRANGE(""https://docs.google.com/spreadsheets/d/1MeEWN-I1oV_STSDYn1IFDPWt_1FKiwhDph83XaGc0o0/edit?usp=sharing"",""งบพรบ!ER81"")"),165500)</f>
        <v>165500</v>
      </c>
      <c r="N333" s="45">
        <f ca="1">IFERROR(__xludf.DUMMYFUNCTION("IMPORTRANGE(""https://docs.google.com/spreadsheets/d/1MeEWN-I1oV_STSDYn1IFDPWt_1FKiwhDph83XaGc0o0/edit?usp=sharing"",""งบพรบ!ET81"")"),93207.33)</f>
        <v>93207.33</v>
      </c>
      <c r="O333" s="45">
        <f t="shared" ca="1" si="150"/>
        <v>57.182411042944786</v>
      </c>
      <c r="P333" s="45">
        <f t="shared" ca="1" si="151"/>
        <v>56.318628398791539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IFERROR(__xludf.DUMMYFUNCTION("IMPORTRANGE(""https://docs.google.com/spreadsheets/d/1MeEWN-I1oV_STSDYn1IFDPWt_1FKiwhDph83XaGc0o0/edit?usp=sharing"",""งบพรบ!EP81"")"),0)</f>
        <v>0</v>
      </c>
      <c r="M336" s="45">
        <f ca="1">IFERROR(__xludf.DUMMYFUNCTION("IMPORTRANGE(""https://docs.google.com/spreadsheets/d/1MeEWN-I1oV_STSDYn1IFDPWt_1FKiwhDph83XaGc0o0/edit?usp=sharing"",""งบพรบ!ES81"")"),0)</f>
        <v>0</v>
      </c>
      <c r="N336" s="45">
        <f ca="1">IFERROR(__xludf.DUMMYFUNCTION("IMPORTRANGE(""https://docs.google.com/spreadsheets/d/1MeEWN-I1oV_STSDYn1IFDPWt_1FKiwhDph83XaGc0o0/edit?usp=sharing"",""งบพรบ!EU81"")"),0)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IFERROR(__xludf.DUMMYFUNCTION("IMPORTRANGE(""https://docs.google.com/spreadsheets/d/1QqKyyYR6Q21VydFLVH3TRQUabQu_ym0Zz7PgGX0-kHA/edit?usp=sharing"",""แผน!EG81"")"),800)</f>
        <v>800</v>
      </c>
      <c r="J338" s="37">
        <f ca="1">IFERROR(__xludf.DUMMYFUNCTION("IMPORTRANGE(""https://docs.google.com/spreadsheets/d/1kVcqe37tkHyjCSG3S0O1AXqVkqjo8mSIZil3BcpIysc/edit?usp=sharing"",""ศูนย์!D81"")"),1253)</f>
        <v>1253</v>
      </c>
      <c r="K338" s="38">
        <f ca="1">IF(I338&gt;0,J338*100/I338,0)</f>
        <v>156.625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IFERROR(__xludf.DUMMYFUNCTION("IMPORTRANGE(""https://docs.google.com/spreadsheets/d/1QqKyyYR6Q21VydFLVH3TRQUabQu_ym0Zz7PgGX0-kHA/edit?usp=sharing"",""แผน!EH81"")"),5)</f>
        <v>5</v>
      </c>
      <c r="J340" s="37">
        <f ca="1">IFERROR(__xludf.DUMMYFUNCTION("IMPORTRANGE(""https://docs.google.com/spreadsheets/d/1kVcqe37tkHyjCSG3S0O1AXqVkqjo8mSIZil3BcpIysc/edit?usp=sharing"",""ศูนย์!E81"")"),4)</f>
        <v>4</v>
      </c>
      <c r="K340" s="38">
        <f ca="1">IF(I340&gt;0,J340*100/I340,0)</f>
        <v>80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IFERROR(__xludf.DUMMYFUNCTION("IMPORTRANGE(""https://docs.google.com/spreadsheets/d/1kVcqe37tkHyjCSG3S0O1AXqVkqjo8mSIZil3BcpIysc/edit?usp=sharing"",""ศูนย์!F81"")"),79)</f>
        <v>79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IFERROR(__xludf.DUMMYFUNCTION("IMPORTRANGE(""https://docs.google.com/spreadsheets/d/1kVcqe37tkHyjCSG3S0O1AXqVkqjo8mSIZil3BcpIysc/edit?usp=sharing"",""ศูนย์!G81"")"),0)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IFERROR(__xludf.DUMMYFUNCTION("IMPORTRANGE(""https://docs.google.com/spreadsheets/d/1kVcqe37tkHyjCSG3S0O1AXqVkqjo8mSIZil3BcpIysc/edit?usp=sharing"",""ศูนย์!H81"")"),0)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661560</v>
      </c>
      <c r="M345" s="154">
        <f t="shared" ca="1" si="155"/>
        <v>711360</v>
      </c>
      <c r="N345" s="154">
        <f t="shared" ca="1" si="155"/>
        <v>440571.95</v>
      </c>
      <c r="O345" s="154">
        <f t="shared" ref="O345:O353" ca="1" si="156">IF(L345&gt;0,N345*100/L345,0)</f>
        <v>66.595917225950785</v>
      </c>
      <c r="P345" s="154">
        <f t="shared" ref="P345:P353" ca="1" si="157">IF(M345&gt;0,N345*100/M345,0)</f>
        <v>61.933753654970758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661560</v>
      </c>
      <c r="M347" s="45">
        <f t="shared" ca="1" si="158"/>
        <v>711360</v>
      </c>
      <c r="N347" s="45">
        <f t="shared" ca="1" si="158"/>
        <v>440571.95</v>
      </c>
      <c r="O347" s="45">
        <f t="shared" ca="1" si="156"/>
        <v>66.595917225950785</v>
      </c>
      <c r="P347" s="45">
        <f t="shared" ca="1" si="157"/>
        <v>61.933753654970758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585560</v>
      </c>
      <c r="M348" s="38">
        <f t="shared" ca="1" si="159"/>
        <v>635560</v>
      </c>
      <c r="N348" s="38">
        <f t="shared" ca="1" si="159"/>
        <v>364771.95</v>
      </c>
      <c r="O348" s="38">
        <f t="shared" ca="1" si="156"/>
        <v>62.294547100211766</v>
      </c>
      <c r="P348" s="38">
        <f t="shared" ca="1" si="157"/>
        <v>57.393786581912018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IFERROR(__xludf.DUMMYFUNCTION("IMPORTRANGE(""https://docs.google.com/spreadsheets/d/1MeEWN-I1oV_STSDYn1IFDPWt_1FKiwhDph83XaGc0o0/edit?usp=sharing"",""งบพรบ!EW81"")"),585560)</f>
        <v>585560</v>
      </c>
      <c r="M350" s="45">
        <f ca="1">IFERROR(__xludf.DUMMYFUNCTION("IMPORTRANGE(""https://docs.google.com/spreadsheets/d/1MeEWN-I1oV_STSDYn1IFDPWt_1FKiwhDph83XaGc0o0/edit?usp=sharing"",""งบพรบ!FB81"")"),635560)</f>
        <v>635560</v>
      </c>
      <c r="N350" s="45">
        <f ca="1">IFERROR(__xludf.DUMMYFUNCTION("IMPORTRANGE(""https://docs.google.com/spreadsheets/d/1MeEWN-I1oV_STSDYn1IFDPWt_1FKiwhDph83XaGc0o0/edit?usp=sharing"",""งบพรบ!FD81"")"),364771.95)</f>
        <v>364771.95</v>
      </c>
      <c r="O350" s="45">
        <f t="shared" ca="1" si="156"/>
        <v>62.294547100211766</v>
      </c>
      <c r="P350" s="45">
        <f t="shared" ca="1" si="157"/>
        <v>57.393786581912018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76000</v>
      </c>
      <c r="M351" s="38">
        <f t="shared" ca="1" si="160"/>
        <v>75800</v>
      </c>
      <c r="N351" s="38">
        <f t="shared" ca="1" si="160"/>
        <v>75800</v>
      </c>
      <c r="O351" s="38">
        <f t="shared" ca="1" si="156"/>
        <v>99.736842105263165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IFERROR(__xludf.DUMMYFUNCTION("IMPORTRANGE(""https://docs.google.com/spreadsheets/d/1MeEWN-I1oV_STSDYn1IFDPWt_1FKiwhDph83XaGc0o0/edit?usp=sharing"",""งบพรบ!EZ81"")"),76000)</f>
        <v>76000</v>
      </c>
      <c r="M353" s="45">
        <f ca="1">IFERROR(__xludf.DUMMYFUNCTION("IMPORTRANGE(""https://docs.google.com/spreadsheets/d/1MeEWN-I1oV_STSDYn1IFDPWt_1FKiwhDph83XaGc0o0/edit?usp=sharing"",""งบพรบ!FC81"")"),75800)</f>
        <v>75800</v>
      </c>
      <c r="N353" s="45">
        <f ca="1">IFERROR(__xludf.DUMMYFUNCTION("IMPORTRANGE(""https://docs.google.com/spreadsheets/d/1MeEWN-I1oV_STSDYn1IFDPWt_1FKiwhDph83XaGc0o0/edit?usp=sharing"",""งบพรบ!FE81"")"),75800)</f>
        <v>75800</v>
      </c>
      <c r="O353" s="45">
        <f t="shared" ca="1" si="156"/>
        <v>99.736842105263165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IFERROR(__xludf.DUMMYFUNCTION("IMPORTRANGE(""https://docs.google.com/spreadsheets/d/1QqKyyYR6Q21VydFLVH3TRQUabQu_ym0Zz7PgGX0-kHA/edit?usp=sharing"",""แผน!EP81"")"),80)</f>
        <v>80</v>
      </c>
      <c r="J355" s="438">
        <f>J362</f>
        <v>0</v>
      </c>
      <c r="K355" s="439">
        <f ca="1">IF(I355&gt;0,J355*100/I355,0)</f>
        <v>0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IFERROR(__xludf.DUMMYFUNCTION("IMPORTRANGE(""https://docs.google.com/spreadsheets/d/1XWAQStnk-4SwqDmLtmXYiTMKHgktTP8We1SCoS47DrQ/edit?usp=sharing"",""จัดที่ดิน!W81"")"),9)</f>
        <v>9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IFERROR(__xludf.DUMMYFUNCTION("IMPORTRANGE(""https://docs.google.com/spreadsheets/d/1QqKyyYR6Q21VydFLVH3TRQUabQu_ym0Zz7PgGX0-kHA/edit?usp=sharing"",""แผน!EO81"")"),650)</f>
        <v>650</v>
      </c>
      <c r="J359" s="37">
        <v>0</v>
      </c>
      <c r="K359" s="38">
        <f t="shared" ca="1" si="161"/>
        <v>0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IFERROR(__xludf.DUMMYFUNCTION("IMPORTRANGE(""https://docs.google.com/spreadsheets/d/1QqKyyYR6Q21VydFLVH3TRQUabQu_ym0Zz7PgGX0-kHA/edit?usp=sharing"",""แผน!EP81"")"),80)</f>
        <v>80</v>
      </c>
      <c r="J360" s="37">
        <v>0</v>
      </c>
      <c r="K360" s="38">
        <f t="shared" ca="1" si="161"/>
        <v>0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IFERROR(__xludf.DUMMYFUNCTION("IMPORTRANGE(""https://docs.google.com/spreadsheets/d/1XWAQStnk-4SwqDmLtmXYiTMKHgktTP8We1SCoS47DrQ/edit?usp=sharing"",""จัดที่ดิน!Z81"")"),64.05)</f>
        <v>64.05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IFERROR(__xludf.DUMMYFUNCTION("IMPORTRANGE(""https://docs.google.com/spreadsheets/d/1QqKyyYR6Q21VydFLVH3TRQUabQu_ym0Zz7PgGX0-kHA/edit?usp=sharing"",""แผน!EP81"")"),80)</f>
        <v>80</v>
      </c>
      <c r="J362" s="37">
        <v>0</v>
      </c>
      <c r="K362" s="38">
        <f t="shared" ca="1" si="161"/>
        <v>0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IFERROR(__xludf.DUMMYFUNCTION("IMPORTRANGE(""https://docs.google.com/spreadsheets/d/1XWAQStnk-4SwqDmLtmXYiTMKHgktTP8We1SCoS47DrQ/edit?usp=sharing"",""จัดที่ดิน!AB81"")"),64.05)</f>
        <v>64.05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130</v>
      </c>
      <c r="J364" s="452">
        <f t="shared" ca="1" si="162"/>
        <v>44</v>
      </c>
      <c r="K364" s="453">
        <f t="shared" ca="1" si="161"/>
        <v>33.846153846153847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IFERROR(__xludf.DUMMYFUNCTION("IMPORTRANGE(""https://docs.google.com/spreadsheets/d/1QqKyyYR6Q21VydFLVH3TRQUabQu_ym0Zz7PgGX0-kHA/edit?usp=sharing"",""แผน!EJ81"")"),30)</f>
        <v>30</v>
      </c>
      <c r="J365" s="462">
        <f ca="1">J372</f>
        <v>2</v>
      </c>
      <c r="K365" s="463">
        <f t="shared" ca="1" si="161"/>
        <v>6.666666666666667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IFERROR(__xludf.DUMMYFUNCTION("IMPORTRANGE(""https://docs.google.com/spreadsheets/d/1XWAQStnk-4SwqDmLtmXYiTMKHgktTP8We1SCoS47DrQ/edit?usp=sharing"",""จัดที่ดิน!E81"")"),2)</f>
        <v>2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IFERROR(__xludf.DUMMYFUNCTION("IMPORTRANGE(""https://docs.google.com/spreadsheets/d/1QqKyyYR6Q21VydFLVH3TRQUabQu_ym0Zz7PgGX0-kHA/edit?usp=sharing"",""แผน!EI81"")"),200)</f>
        <v>200</v>
      </c>
      <c r="J369" s="37">
        <f ca="1">IFERROR(__xludf.DUMMYFUNCTION("IMPORTRANGE(""https://docs.google.com/spreadsheets/d/1XWAQStnk-4SwqDmLtmXYiTMKHgktTP8We1SCoS47DrQ/edit?usp=sharing"",""จัดที่ดิน!F81"")"),4.04)</f>
        <v>4.04</v>
      </c>
      <c r="K369" s="38">
        <f t="shared" ca="1" si="163"/>
        <v>2.02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IFERROR(__xludf.DUMMYFUNCTION("IMPORTRANGE(""https://docs.google.com/spreadsheets/d/1QqKyyYR6Q21VydFLVH3TRQUabQu_ym0Zz7PgGX0-kHA/edit?usp=sharing"",""แผน!EJ81"")"),30)</f>
        <v>30</v>
      </c>
      <c r="J370" s="37">
        <f ca="1">IFERROR(__xludf.DUMMYFUNCTION("IMPORTRANGE(""https://docs.google.com/spreadsheets/d/1XWAQStnk-4SwqDmLtmXYiTMKHgktTP8We1SCoS47DrQ/edit?usp=sharing"",""จัดที่ดิน!G81"")"),2)</f>
        <v>2</v>
      </c>
      <c r="K370" s="38">
        <f t="shared" ca="1" si="163"/>
        <v>6.666666666666667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IFERROR(__xludf.DUMMYFUNCTION("IMPORTRANGE(""https://docs.google.com/spreadsheets/d/1XWAQStnk-4SwqDmLtmXYiTMKHgktTP8We1SCoS47DrQ/edit?usp=sharing"",""จัดที่ดิน!H81"")"),4.04)</f>
        <v>4.04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IFERROR(__xludf.DUMMYFUNCTION("IMPORTRANGE(""https://docs.google.com/spreadsheets/d/1QqKyyYR6Q21VydFLVH3TRQUabQu_ym0Zz7PgGX0-kHA/edit?usp=sharing"",""แผน!EJ81"")"),30)</f>
        <v>30</v>
      </c>
      <c r="J372" s="37">
        <f ca="1">IFERROR(__xludf.DUMMYFUNCTION("IMPORTRANGE(""https://docs.google.com/spreadsheets/d/1XWAQStnk-4SwqDmLtmXYiTMKHgktTP8We1SCoS47DrQ/edit?usp=sharing"",""จัดที่ดิน!I81"")"),2)</f>
        <v>2</v>
      </c>
      <c r="K372" s="38">
        <f t="shared" ca="1" si="163"/>
        <v>6.666666666666667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IFERROR(__xludf.DUMMYFUNCTION("IMPORTRANGE(""https://docs.google.com/spreadsheets/d/1XWAQStnk-4SwqDmLtmXYiTMKHgktTP8We1SCoS47DrQ/edit?usp=sharing"",""จัดที่ดิน!J81"")"),4.04)</f>
        <v>4.04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IFERROR(__xludf.DUMMYFUNCTION("IMPORTRANGE(""https://docs.google.com/spreadsheets/d/1QqKyyYR6Q21VydFLVH3TRQUabQu_ym0Zz7PgGX0-kHA/edit?usp=sharing"",""แผน!EU81"")"),100)</f>
        <v>100</v>
      </c>
      <c r="J374" s="462">
        <f ca="1">J381</f>
        <v>42</v>
      </c>
      <c r="K374" s="463">
        <f t="shared" ca="1" si="163"/>
        <v>42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IFERROR(__xludf.DUMMYFUNCTION("IMPORTRANGE(""https://docs.google.com/spreadsheets/d/1XWAQStnk-4SwqDmLtmXYiTMKHgktTP8We1SCoS47DrQ/edit?usp=sharing"",""จัดที่ดิน!AH81"")"),7)</f>
        <v>7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IFERROR(__xludf.DUMMYFUNCTION("IMPORTRANGE(""https://docs.google.com/spreadsheets/d/1QqKyyYR6Q21VydFLVH3TRQUabQu_ym0Zz7PgGX0-kHA/edit?usp=sharing"",""แผน!ET81"")"),450)</f>
        <v>450</v>
      </c>
      <c r="J378" s="37">
        <f ca="1">IFERROR(__xludf.DUMMYFUNCTION("IMPORTRANGE(""https://docs.google.com/spreadsheets/d/1XWAQStnk-4SwqDmLtmXYiTMKHgktTP8We1SCoS47DrQ/edit?usp=sharing"",""จัดที่ดิน!AI81"")"),60.01)</f>
        <v>60.01</v>
      </c>
      <c r="K378" s="38">
        <f t="shared" ca="1" si="164"/>
        <v>13.335555555555555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IFERROR(__xludf.DUMMYFUNCTION("IMPORTRANGE(""https://docs.google.com/spreadsheets/d/1QqKyyYR6Q21VydFLVH3TRQUabQu_ym0Zz7PgGX0-kHA/edit?usp=sharing"",""แผน!EU81"")"),100)</f>
        <v>100</v>
      </c>
      <c r="J379" s="37">
        <f ca="1">IFERROR(__xludf.DUMMYFUNCTION("IMPORTRANGE(""https://docs.google.com/spreadsheets/d/1XWAQStnk-4SwqDmLtmXYiTMKHgktTP8We1SCoS47DrQ/edit?usp=sharing"",""จัดที่ดิน!AJ81"")"),42)</f>
        <v>42</v>
      </c>
      <c r="K379" s="38">
        <f t="shared" ca="1" si="164"/>
        <v>42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IFERROR(__xludf.DUMMYFUNCTION("IMPORTRANGE(""https://docs.google.com/spreadsheets/d/1XWAQStnk-4SwqDmLtmXYiTMKHgktTP8We1SCoS47DrQ/edit?usp=sharing"",""จัดที่ดิน!AK81"")"),423.7)</f>
        <v>423.7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IFERROR(__xludf.DUMMYFUNCTION("IMPORTRANGE(""https://docs.google.com/spreadsheets/d/1QqKyyYR6Q21VydFLVH3TRQUabQu_ym0Zz7PgGX0-kHA/edit?usp=sharing"",""แผน!EU81"")"),100)</f>
        <v>100</v>
      </c>
      <c r="J381" s="37">
        <f ca="1">IFERROR(__xludf.DUMMYFUNCTION("IMPORTRANGE(""https://docs.google.com/spreadsheets/d/1XWAQStnk-4SwqDmLtmXYiTMKHgktTP8We1SCoS47DrQ/edit?usp=sharing"",""จัดที่ดิน!AL81"")"),42)</f>
        <v>42</v>
      </c>
      <c r="K381" s="38">
        <f t="shared" ca="1" si="164"/>
        <v>42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IFERROR(__xludf.DUMMYFUNCTION("IMPORTRANGE(""https://docs.google.com/spreadsheets/d/1XWAQStnk-4SwqDmLtmXYiTMKHgktTP8We1SCoS47DrQ/edit?usp=sharing"",""จัดที่ดิน!AM81"")"),423.7)</f>
        <v>423.7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IFERROR(__xludf.DUMMYFUNCTION("IMPORTRANGE(""https://docs.google.com/spreadsheets/d/1QqKyyYR6Q21VydFLVH3TRQUabQu_ym0Zz7PgGX0-kHA/edit?usp=sharing"",""แผน!EW81"")"),10)</f>
        <v>10</v>
      </c>
      <c r="J385" s="365">
        <f ca="1">IFERROR(__xludf.DUMMYFUNCTION("IMPORTRANGE(""https://docs.google.com/spreadsheets/d/1XWAQStnk-4SwqDmLtmXYiTMKHgktTP8We1SCoS47DrQ/edit?usp=sharing"",""จัดที่ดิน!AP81"")"),0)</f>
        <v>0</v>
      </c>
      <c r="K385" s="475">
        <f ca="1">IF(I385&gt;0,J385*100/I385,0)</f>
        <v>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IFERROR(__xludf.DUMMYFUNCTION("IMPORTRANGE(""https://docs.google.com/spreadsheets/d/1MeEWN-I1oV_STSDYn1IFDPWt_1FKiwhDph83XaGc0o0/edit?usp=sharing"",""งบพรบ!FG81"")"),0)</f>
        <v>0</v>
      </c>
      <c r="M394" s="45">
        <f ca="1">IFERROR(__xludf.DUMMYFUNCTION("IMPORTRANGE(""https://docs.google.com/spreadsheets/d/1MeEWN-I1oV_STSDYn1IFDPWt_1FKiwhDph83XaGc0o0/edit?usp=sharing"",""งบพรบ!FL81"")"),0)</f>
        <v>0</v>
      </c>
      <c r="N394" s="45">
        <f ca="1">IFERROR(__xludf.DUMMYFUNCTION("IMPORTRANGE(""https://docs.google.com/spreadsheets/d/1MeEWN-I1oV_STSDYn1IFDPWt_1FKiwhDph83XaGc0o0/edit?usp=sharing"",""งบพรบ!FN81"")"),0)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IFERROR(__xludf.DUMMYFUNCTION("IMPORTRANGE(""https://docs.google.com/spreadsheets/d/1MeEWN-I1oV_STSDYn1IFDPWt_1FKiwhDph83XaGc0o0/edit?usp=sharing"",""งบพรบ!FJ81"")"),0)</f>
        <v>0</v>
      </c>
      <c r="M397" s="45">
        <f ca="1">IFERROR(__xludf.DUMMYFUNCTION("IMPORTRANGE(""https://docs.google.com/spreadsheets/d/1MeEWN-I1oV_STSDYn1IFDPWt_1FKiwhDph83XaGc0o0/edit?usp=sharing"",""งบพรบ!FM81"")"),0)</f>
        <v>0</v>
      </c>
      <c r="N397" s="45">
        <f ca="1">IFERROR(__xludf.DUMMYFUNCTION("IMPORTRANGE(""https://docs.google.com/spreadsheets/d/1MeEWN-I1oV_STSDYn1IFDPWt_1FKiwhDph83XaGc0o0/edit?usp=sharing"",""งบพรบ!FO81"")"),0)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0</v>
      </c>
      <c r="J401" s="495">
        <f t="shared" si="173"/>
        <v>0</v>
      </c>
      <c r="K401" s="496">
        <f t="shared" si="172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IFERROR(__xludf.DUMMYFUNCTION("IMPORTRANGE(""https://docs.google.com/spreadsheets/d/1MeEWN-I1oV_STSDYn1IFDPWt_1FKiwhDph83XaGc0o0/edit?usp=sharing"",""งบพรบ!FQ81"")"),0)</f>
        <v>0</v>
      </c>
      <c r="M407" s="45">
        <f ca="1">IFERROR(__xludf.DUMMYFUNCTION("IMPORTRANGE(""https://docs.google.com/spreadsheets/d/1MeEWN-I1oV_STSDYn1IFDPWt_1FKiwhDph83XaGc0o0/edit?usp=sharing"",""งบพรบ!FV81"")"),0)</f>
        <v>0</v>
      </c>
      <c r="N407" s="45">
        <f ca="1">IFERROR(__xludf.DUMMYFUNCTION("IMPORTRANGE(""https://docs.google.com/spreadsheets/d/1MeEWN-I1oV_STSDYn1IFDPWt_1FKiwhDph83XaGc0o0/edit?usp=sharing"",""งบพรบ!FX81"")"),0)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IFERROR(__xludf.DUMMYFUNCTION("IMPORTRANGE(""https://docs.google.com/spreadsheets/d/1MeEWN-I1oV_STSDYn1IFDPWt_1FKiwhDph83XaGc0o0/edit?usp=sharing"",""งบพรบ!FT81"")"),0)</f>
        <v>0</v>
      </c>
      <c r="M410" s="45">
        <f ca="1">IFERROR(__xludf.DUMMYFUNCTION("IMPORTRANGE(""https://docs.google.com/spreadsheets/d/1MeEWN-I1oV_STSDYn1IFDPWt_1FKiwhDph83XaGc0o0/edit?usp=sharing"",""งบพรบ!FW81"")"),0)</f>
        <v>0</v>
      </c>
      <c r="N410" s="45">
        <f ca="1">IFERROR(__xludf.DUMMYFUNCTION("IMPORTRANGE(""https://docs.google.com/spreadsheets/d/1MeEWN-I1oV_STSDYn1IFDPWt_1FKiwhDph83XaGc0o0/edit?usp=sharing"",""งบพรบ!FY81"")"),0)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80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734746</v>
      </c>
      <c r="M414" s="521">
        <f t="shared" ca="1" si="181"/>
        <v>734746</v>
      </c>
      <c r="N414" s="521">
        <f t="shared" si="181"/>
        <v>550611</v>
      </c>
      <c r="O414" s="521">
        <f ca="1">IF(L414&gt;0,N414*100/L414,0)</f>
        <v>74.938958497222174</v>
      </c>
      <c r="P414" s="521">
        <f ca="1">IF(M414&gt;0,N414*100/M414,0)</f>
        <v>74.938958497222174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20</v>
      </c>
      <c r="J417" s="536">
        <f t="shared" ca="1" si="182"/>
        <v>20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1</v>
      </c>
      <c r="J418" s="536">
        <f t="shared" si="182"/>
        <v>1</v>
      </c>
      <c r="K418" s="537">
        <f t="shared" ca="1" si="183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78660</v>
      </c>
      <c r="M419" s="154">
        <f t="shared" ca="1" si="184"/>
        <v>78660</v>
      </c>
      <c r="N419" s="154">
        <f t="shared" si="184"/>
        <v>48115</v>
      </c>
      <c r="O419" s="154">
        <f t="shared" ref="O419:O424" ca="1" si="185">IF(L419&gt;0,N419*100/L419,0)</f>
        <v>61.168319349097381</v>
      </c>
      <c r="P419" s="154">
        <f t="shared" ref="P419:P424" ca="1" si="186">IF(M419&gt;0,N419*100/M419,0)</f>
        <v>61.168319349097381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78660</v>
      </c>
      <c r="M421" s="45">
        <f t="shared" ca="1" si="187"/>
        <v>78660</v>
      </c>
      <c r="N421" s="45">
        <f t="shared" si="187"/>
        <v>48115</v>
      </c>
      <c r="O421" s="45">
        <f t="shared" ca="1" si="185"/>
        <v>61.168319349097381</v>
      </c>
      <c r="P421" s="45">
        <f t="shared" ca="1" si="186"/>
        <v>61.168319349097381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78660</v>
      </c>
      <c r="M422" s="38">
        <f t="shared" ca="1" si="188"/>
        <v>78660</v>
      </c>
      <c r="N422" s="38">
        <f t="shared" si="188"/>
        <v>48115</v>
      </c>
      <c r="O422" s="38">
        <f t="shared" ca="1" si="185"/>
        <v>61.168319349097381</v>
      </c>
      <c r="P422" s="38">
        <f t="shared" ca="1" si="186"/>
        <v>61.168319349097381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IFERROR(__xludf.DUMMYFUNCTION("IMPORTRANGE(""https://docs.google.com/spreadsheets/d/1QqKyyYR6Q21VydFLVH3TRQUabQu_ym0Zz7PgGX0-kHA/edit?usp=sharing"",""แผน!EY81"")"),78660)</f>
        <v>78660</v>
      </c>
      <c r="M424" s="45">
        <f ca="1">L424</f>
        <v>78660</v>
      </c>
      <c r="N424" s="45">
        <f>N425+N426+N427+N428</f>
        <v>48115</v>
      </c>
      <c r="O424" s="45">
        <f t="shared" ca="1" si="185"/>
        <v>61.168319349097381</v>
      </c>
      <c r="P424" s="45">
        <f t="shared" ca="1" si="186"/>
        <v>61.168319349097381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26315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21800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IFERROR(__xludf.DUMMYFUNCTION("IMPORTRANGE(""https://docs.google.com/spreadsheets/d/1QqKyyYR6Q21VydFLVH3TRQUabQu_ym0Zz7PgGX0-kHA/edit?usp=sharing"",""แผน!FB81"")"),0)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20</v>
      </c>
      <c r="J433" s="190">
        <f ca="1">IF(AND(J435=I435,J437=I437,J439=I439),I437+I439,IF(AND(J435=I437,J437=I437),I437,IF(AND(J435=I439,J439=I439),I439,0)))</f>
        <v>20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IFERROR(__xludf.DUMMYFUNCTION("IMPORTRANGE(""https://docs.google.com/spreadsheets/d/1QqKyyYR6Q21VydFLVH3TRQUabQu_ym0Zz7PgGX0-kHA/edit?usp=sharing"",""แผน!FC81"")"),20)</f>
        <v>20</v>
      </c>
      <c r="J435" s="549">
        <v>20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IFERROR(__xludf.DUMMYFUNCTION("IMPORTRANGE(""https://docs.google.com/spreadsheets/d/1QqKyyYR6Q21VydFLVH3TRQUabQu_ym0Zz7PgGX0-kHA/edit?usp=sharing"",""แผน!FD81"")"),0)</f>
        <v>0</v>
      </c>
      <c r="J437" s="549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IFERROR(__xludf.DUMMYFUNCTION("IMPORTRANGE(""https://docs.google.com/spreadsheets/d/1QqKyyYR6Q21VydFLVH3TRQUabQu_ym0Zz7PgGX0-kHA/edit?usp=sharing"",""แผน!FE81"")"),0)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IFERROR(__xludf.DUMMYFUNCTION("IMPORTRANGE(""https://docs.google.com/spreadsheets/d/1QqKyyYR6Q21VydFLVH3TRQUabQu_ym0Zz7PgGX0-kHA/edit?usp=sharing"",""แผน!FF81"")"),20)</f>
        <v>20</v>
      </c>
      <c r="J439" s="549">
        <v>20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IFERROR(__xludf.DUMMYFUNCTION("IMPORTRANGE(""https://docs.google.com/spreadsheets/d/1QqKyyYR6Q21VydFLVH3TRQUabQu_ym0Zz7PgGX0-kHA/edit?usp=sharing"",""แผน!FG81"")"),1)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IFERROR(__xludf.DUMMYFUNCTION("IMPORTRANGE(""https://docs.google.com/spreadsheets/d/1QqKyyYR6Q21VydFLVH3TRQUabQu_ym0Zz7PgGX0-kHA/edit?usp=sharing"",""แผน!FH81"")"),0)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10</v>
      </c>
      <c r="J442" s="555">
        <f t="shared" si="195"/>
        <v>10</v>
      </c>
      <c r="K442" s="556">
        <f t="shared" ca="1" si="194"/>
        <v>100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30</v>
      </c>
      <c r="J443" s="536">
        <f t="shared" si="196"/>
        <v>30</v>
      </c>
      <c r="K443" s="537">
        <f t="shared" ca="1" si="194"/>
        <v>100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77160</v>
      </c>
      <c r="M444" s="191">
        <f t="shared" ca="1" si="197"/>
        <v>77160</v>
      </c>
      <c r="N444" s="191">
        <f t="shared" si="197"/>
        <v>63190</v>
      </c>
      <c r="O444" s="191">
        <f t="shared" ref="O444:O449" ca="1" si="198">IF(L444&gt;0,N444*100/L444,0)</f>
        <v>81.894764126490415</v>
      </c>
      <c r="P444" s="191">
        <f t="shared" ref="P444:P449" ca="1" si="199">IF(M444&gt;0,N444*100/M444,0)</f>
        <v>81.894764126490415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77160</v>
      </c>
      <c r="M446" s="45">
        <f t="shared" ca="1" si="200"/>
        <v>77160</v>
      </c>
      <c r="N446" s="45">
        <f t="shared" si="200"/>
        <v>63190</v>
      </c>
      <c r="O446" s="45">
        <f t="shared" ca="1" si="198"/>
        <v>81.894764126490415</v>
      </c>
      <c r="P446" s="45">
        <f t="shared" ca="1" si="199"/>
        <v>81.894764126490415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77160</v>
      </c>
      <c r="M447" s="38">
        <f t="shared" ca="1" si="201"/>
        <v>77160</v>
      </c>
      <c r="N447" s="38">
        <f t="shared" si="201"/>
        <v>63190</v>
      </c>
      <c r="O447" s="38">
        <f t="shared" ca="1" si="198"/>
        <v>81.894764126490415</v>
      </c>
      <c r="P447" s="38">
        <f t="shared" ca="1" si="199"/>
        <v>81.894764126490415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IFERROR(__xludf.DUMMYFUNCTION("IMPORTRANGE(""https://docs.google.com/spreadsheets/d/1QqKyyYR6Q21VydFLVH3TRQUabQu_ym0Zz7PgGX0-kHA/edit?usp=sharing"",""แผน!FJ81"")"),77160)</f>
        <v>77160</v>
      </c>
      <c r="M449" s="45">
        <f ca="1">L449</f>
        <v>77160</v>
      </c>
      <c r="N449" s="45">
        <f>N450+N451+N452+N453</f>
        <v>63190</v>
      </c>
      <c r="O449" s="45">
        <f t="shared" ca="1" si="198"/>
        <v>81.894764126490415</v>
      </c>
      <c r="P449" s="45">
        <f t="shared" ca="1" si="199"/>
        <v>81.894764126490415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12880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34000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0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16310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IFERROR(__xludf.DUMMYFUNCTION("IMPORTRANGE(""https://docs.google.com/spreadsheets/d/1QqKyyYR6Q21VydFLVH3TRQUabQu_ym0Zz7PgGX0-kHA/edit?usp=sharing"",""แผน!FM81"")"),0)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IFERROR(__xludf.DUMMYFUNCTION("IMPORTRANGE(""https://docs.google.com/spreadsheets/d/1QqKyyYR6Q21VydFLVH3TRQUabQu_ym0Zz7PgGX0-kHA/edit?usp=sharing"",""แผน!FN81"")"),10)</f>
        <v>10</v>
      </c>
      <c r="J460" s="181">
        <v>10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IFERROR(__xludf.DUMMYFUNCTION("IMPORTRANGE(""https://docs.google.com/spreadsheets/d/1QqKyyYR6Q21VydFLVH3TRQUabQu_ym0Zz7PgGX0-kHA/edit?usp=sharing"",""แผน!FO81"")"),30)</f>
        <v>30</v>
      </c>
      <c r="J462" s="181">
        <v>30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IFERROR(__xludf.DUMMYFUNCTION("IMPORTRANGE(""https://docs.google.com/spreadsheets/d/1QqKyyYR6Q21VydFLVH3TRQUabQu_ym0Zz7PgGX0-kHA/edit?usp=sharing"",""แผน!FO81"")"),30)</f>
        <v>30</v>
      </c>
      <c r="J463" s="181">
        <v>30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IFERROR(__xludf.DUMMYFUNCTION("IMPORTRANGE(""https://docs.google.com/spreadsheets/d/1QqKyyYR6Q21VydFLVH3TRQUabQu_ym0Zz7PgGX0-kHA/edit?usp=sharing"",""แผน!FN81"")"),10)</f>
        <v>10</v>
      </c>
      <c r="J464" s="181">
        <v>10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IFERROR(__xludf.DUMMYFUNCTION("IMPORTRANGE(""https://docs.google.com/spreadsheets/d/1QqKyyYR6Q21VydFLVH3TRQUabQu_ym0Zz7PgGX0-kHA/edit?usp=sharing"",""แผน!FX81"")"),41)</f>
        <v>41</v>
      </c>
      <c r="J465" s="555">
        <f>J485+J489+J492</f>
        <v>41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IFERROR(__xludf.DUMMYFUNCTION("IMPORTRANGE(""https://docs.google.com/spreadsheets/d/1QqKyyYR6Q21VydFLVH3TRQUabQu_ym0Zz7PgGX0-kHA/edit?usp=sharing"",""แผน!FW81"")"),400)</f>
        <v>400</v>
      </c>
      <c r="J466" s="536">
        <f>J495+J498</f>
        <v>400</v>
      </c>
      <c r="K466" s="537">
        <f t="shared" ca="1" si="205"/>
        <v>100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340483</v>
      </c>
      <c r="M467" s="191">
        <f t="shared" ca="1" si="206"/>
        <v>340483</v>
      </c>
      <c r="N467" s="191">
        <f t="shared" si="206"/>
        <v>330870</v>
      </c>
      <c r="O467" s="191">
        <f t="shared" ref="O467:O472" ca="1" si="207">IF(L467&gt;0,N467*100/L467,0)</f>
        <v>97.176657865444085</v>
      </c>
      <c r="P467" s="191">
        <f t="shared" ref="P467:P472" ca="1" si="208">IF(M467&gt;0,N467*100/M467,0)</f>
        <v>97.176657865444085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340483</v>
      </c>
      <c r="M469" s="45">
        <f t="shared" ca="1" si="209"/>
        <v>340483</v>
      </c>
      <c r="N469" s="45">
        <f t="shared" si="209"/>
        <v>330870</v>
      </c>
      <c r="O469" s="45">
        <f t="shared" ca="1" si="207"/>
        <v>97.176657865444085</v>
      </c>
      <c r="P469" s="45">
        <f t="shared" ca="1" si="208"/>
        <v>97.176657865444085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340483</v>
      </c>
      <c r="M470" s="38">
        <f t="shared" ca="1" si="210"/>
        <v>340483</v>
      </c>
      <c r="N470" s="38">
        <f t="shared" si="210"/>
        <v>330870</v>
      </c>
      <c r="O470" s="38">
        <f t="shared" ca="1" si="207"/>
        <v>97.176657865444085</v>
      </c>
      <c r="P470" s="38">
        <f t="shared" ca="1" si="208"/>
        <v>97.176657865444085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IFERROR(__xludf.DUMMYFUNCTION("IMPORTRANGE(""https://docs.google.com/spreadsheets/d/1QqKyyYR6Q21VydFLVH3TRQUabQu_ym0Zz7PgGX0-kHA/edit?usp=sharing"",""แผน!FS81"")"),340483)</f>
        <v>340483</v>
      </c>
      <c r="M472" s="45">
        <f ca="1">L472</f>
        <v>340483</v>
      </c>
      <c r="N472" s="45">
        <f>N473+N474+N475+N476</f>
        <v>330870</v>
      </c>
      <c r="O472" s="45">
        <f t="shared" ca="1" si="207"/>
        <v>97.176657865444085</v>
      </c>
      <c r="P472" s="45">
        <f t="shared" ca="1" si="208"/>
        <v>97.176657865444085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46503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248000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36367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IFERROR(__xludf.DUMMYFUNCTION("IMPORTRANGE(""https://docs.google.com/spreadsheets/d/1QqKyyYR6Q21VydFLVH3TRQUabQu_ym0Zz7PgGX0-kHA/edit?usp=sharing"",""แผน!FV81"")"),0)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IFERROR(__xludf.DUMMYFUNCTION("IMPORTRANGE(""https://docs.google.com/spreadsheets/d/1QqKyyYR6Q21VydFLVH3TRQUabQu_ym0Zz7PgGX0-kHA/edit?usp=sharing"",""แผน!FY81"")"),360)</f>
        <v>360</v>
      </c>
      <c r="J483" s="181">
        <v>0</v>
      </c>
      <c r="K483" s="38">
        <f ca="1">IF(I483&gt;0,J483*100/I483,0)</f>
        <v>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IFERROR(__xludf.DUMMYFUNCTION("IMPORTRANGE(""https://docs.google.com/spreadsheets/d/1QqKyyYR6Q21VydFLVH3TRQUabQu_ym0Zz7PgGX0-kHA/edit?usp=sharing"",""แผน!FZ81"")"),36)</f>
        <v>36</v>
      </c>
      <c r="J485" s="181">
        <v>36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IFERROR(__xludf.DUMMYFUNCTION("IMPORTRANGE(""https://docs.google.com/spreadsheets/d/1QqKyyYR6Q21VydFLVH3TRQUabQu_ym0Zz7PgGX0-kHA/edit?usp=sharing"",""แผน!GA81"")"),40)</f>
        <v>40</v>
      </c>
      <c r="J487" s="181"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0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IFERROR(__xludf.DUMMYFUNCTION("IMPORTRANGE(""https://docs.google.com/spreadsheets/d/1QqKyyYR6Q21VydFLVH3TRQUabQu_ym0Zz7PgGX0-kHA/edit?usp=sharing"",""แผน!GB81"")"),4)</f>
        <v>4</v>
      </c>
      <c r="J489" s="181">
        <v>4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IFERROR(__xludf.DUMMYFUNCTION("IMPORTRANGE(""https://docs.google.com/spreadsheets/d/1QqKyyYR6Q21VydFLVH3TRQUabQu_ym0Zz7PgGX0-kHA/edit?usp=sharing"",""แผน!GC81"")"),1)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IFERROR(__xludf.DUMMYFUNCTION("IMPORTRANGE(""https://docs.google.com/spreadsheets/d/1QqKyyYR6Q21VydFLVH3TRQUabQu_ym0Zz7PgGX0-kHA/edit?usp=sharing"",""แผน!FY81"")"),360)</f>
        <v>360</v>
      </c>
      <c r="J495" s="181">
        <v>360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IFERROR(__xludf.DUMMYFUNCTION("IMPORTRANGE(""https://docs.google.com/spreadsheets/d/1QqKyyYR6Q21VydFLVH3TRQUabQu_ym0Zz7PgGX0-kHA/edit?usp=sharing"",""แผน!GA81"")"),40)</f>
        <v>40</v>
      </c>
      <c r="J498" s="181">
        <v>40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 hidden="1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 hidden="1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0</v>
      </c>
      <c r="J522" s="630">
        <f t="shared" ca="1" si="225"/>
        <v>0</v>
      </c>
      <c r="K522" s="631">
        <f ca="1">IF(I522&gt;0,J522*100/I522,0)</f>
        <v>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 hidden="1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 hidden="1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IFERROR(__xludf.DUMMYFUNCTION("IMPORTRANGE(""https://docs.google.com/spreadsheets/d/1QqKyyYR6Q21VydFLVH3TRQUabQu_ym0Zz7PgGX0-kHA/edit?usp=sharing"",""แผน!GQ81"")"),0)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 hidden="1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 hidden="1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 hidden="1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 hidden="1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 hidden="1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IFERROR(__xludf.DUMMYFUNCTION("IMPORTRANGE(""https://docs.google.com/spreadsheets/d/1QqKyyYR6Q21VydFLVH3TRQUabQu_ym0Zz7PgGX0-kHA/edit?usp=sharing"",""แผน!GT81"")"),0)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 hidden="1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 hidden="1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IFERROR(__xludf.DUMMYFUNCTION("IMPORTRANGE(""https://docs.google.com/spreadsheets/d/1QqKyyYR6Q21VydFLVH3TRQUabQu_ym0Zz7PgGX0-kHA/edit?usp=sharing"",""แผน!GU81"")"),0)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 hidden="1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IFERROR(__xludf.DUMMYFUNCTION("IMPORTRANGE(""https://docs.google.com/spreadsheets/d/1QqKyyYR6Q21VydFLVH3TRQUabQu_ym0Zz7PgGX0-kHA/edit?usp=sharing"",""แผน!GV81"")"),0)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 hidden="1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IFERROR(__xludf.DUMMYFUNCTION("IMPORTRANGE(""https://docs.google.com/spreadsheets/d/1QqKyyYR6Q21VydFLVH3TRQUabQu_ym0Zz7PgGX0-kHA/edit?usp=sharing"",""แผน!GW81"")"),0)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 hidden="1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IFERROR(__xludf.DUMMYFUNCTION("IMPORTRANGE(""https://docs.google.com/spreadsheets/d/1QqKyyYR6Q21VydFLVH3TRQUabQu_ym0Zz7PgGX0-kHA/edit?usp=sharing"",""แผน!GX81"")"),0)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 hidden="1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IFERROR(__xludf.DUMMYFUNCTION("IMPORTRANGE(""https://docs.google.com/spreadsheets/d/1QqKyyYR6Q21VydFLVH3TRQUabQu_ym0Zz7PgGX0-kHA/edit?usp=sharing"",""แผน!GY81"")"),0)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 hidden="1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IFERROR(__xludf.DUMMYFUNCTION("IMPORTRANGE(""https://docs.google.com/spreadsheets/d/1QqKyyYR6Q21VydFLVH3TRQUabQu_ym0Zz7PgGX0-kHA/edit?usp=sharing"",""แผน!GZ81"")"),0)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2360</v>
      </c>
      <c r="J543" s="638">
        <f t="shared" si="235"/>
        <v>2360</v>
      </c>
      <c r="K543" s="639">
        <f t="shared" ca="1" si="234"/>
        <v>100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236443</v>
      </c>
      <c r="M544" s="154">
        <f t="shared" ca="1" si="236"/>
        <v>236443</v>
      </c>
      <c r="N544" s="154">
        <f t="shared" si="236"/>
        <v>108436</v>
      </c>
      <c r="O544" s="154">
        <f t="shared" ref="O544:O549" ca="1" si="237">IF(L544&gt;0,N544*100/L544,0)</f>
        <v>45.861370393710111</v>
      </c>
      <c r="P544" s="154">
        <f t="shared" ref="P544:P549" ca="1" si="238">IF(M544&gt;0,N544*100/M544,0)</f>
        <v>45.861370393710111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236443</v>
      </c>
      <c r="M546" s="45">
        <f t="shared" ca="1" si="240"/>
        <v>236443</v>
      </c>
      <c r="N546" s="45">
        <f t="shared" si="240"/>
        <v>108436</v>
      </c>
      <c r="O546" s="45">
        <f t="shared" ca="1" si="237"/>
        <v>45.861370393710111</v>
      </c>
      <c r="P546" s="45">
        <f t="shared" ca="1" si="238"/>
        <v>45.861370393710111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236443</v>
      </c>
      <c r="M547" s="38">
        <f t="shared" ca="1" si="241"/>
        <v>236443</v>
      </c>
      <c r="N547" s="38">
        <f t="shared" si="241"/>
        <v>108436</v>
      </c>
      <c r="O547" s="38">
        <f t="shared" ca="1" si="237"/>
        <v>45.861370393710111</v>
      </c>
      <c r="P547" s="38">
        <f t="shared" ca="1" si="238"/>
        <v>45.861370393710111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IFERROR(__xludf.DUMMYFUNCTION("IMPORTRANGE(""https://docs.google.com/spreadsheets/d/1QqKyyYR6Q21VydFLVH3TRQUabQu_ym0Zz7PgGX0-kHA/edit?usp=sharing"",""แผน!HB81"")"),236443)</f>
        <v>236443</v>
      </c>
      <c r="M549" s="45">
        <f ca="1">L549</f>
        <v>236443</v>
      </c>
      <c r="N549" s="45">
        <f>N550+N551+N552+N553+N554</f>
        <v>108436</v>
      </c>
      <c r="O549" s="45">
        <f t="shared" ca="1" si="237"/>
        <v>45.861370393710111</v>
      </c>
      <c r="P549" s="45">
        <f t="shared" ca="1" si="238"/>
        <v>45.861370393710111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63268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45168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IFERROR(__xludf.DUMMYFUNCTION("IMPORTRANGE(""https://docs.google.com/spreadsheets/d/1QqKyyYR6Q21VydFLVH3TRQUabQu_ym0Zz7PgGX0-kHA/edit?usp=sharing"",""แผน!HF81"")"),0)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2360</v>
      </c>
      <c r="J559" s="630">
        <f t="shared" si="245"/>
        <v>2360</v>
      </c>
      <c r="K559" s="631">
        <f t="shared" ref="K559:K561" ca="1" si="246">IF(I559&gt;0,J559*100/I559,0)</f>
        <v>100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IFERROR(__xludf.DUMMYFUNCTION("IMPORTRANGE(""https://docs.google.com/spreadsheets/d/1QqKyyYR6Q21VydFLVH3TRQUabQu_ym0Zz7PgGX0-kHA/edit?usp=sharing"",""แผน!HH81"")"),2360)</f>
        <v>2360</v>
      </c>
      <c r="J560" s="189">
        <f t="shared" ref="J560:J561" si="247">J562+J564+J566</f>
        <v>2360</v>
      </c>
      <c r="K560" s="391">
        <f t="shared" ca="1" si="246"/>
        <v>100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IFERROR(__xludf.DUMMYFUNCTION("IMPORTRANGE(""https://docs.google.com/spreadsheets/d/1QqKyyYR6Q21VydFLVH3TRQUabQu_ym0Zz7PgGX0-kHA/edit?usp=sharing"",""แผน!HG81"")"),339)</f>
        <v>339</v>
      </c>
      <c r="J561" s="189">
        <f t="shared" si="247"/>
        <v>339</v>
      </c>
      <c r="K561" s="391">
        <f t="shared" ca="1" si="246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2089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276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199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53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72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10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IFERROR(__xludf.DUMMYFUNCTION("IMPORTRANGE(""https://docs.google.com/spreadsheets/d/1QqKyyYR6Q21VydFLVH3TRQUabQu_ym0Zz7PgGX0-kHA/edit?usp=sharing"",""แผน!HH81"")"),2360)</f>
        <v>2360</v>
      </c>
      <c r="J568" s="190">
        <f t="shared" ref="J568:J569" si="248">J570+J572+J574</f>
        <v>2360</v>
      </c>
      <c r="K568" s="391">
        <f t="shared" ref="K568:K569" ca="1" si="249">IF(I568&gt;0,J568*100/I568,0)</f>
        <v>100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IFERROR(__xludf.DUMMYFUNCTION("IMPORTRANGE(""https://docs.google.com/spreadsheets/d/1QqKyyYR6Q21VydFLVH3TRQUabQu_ym0Zz7PgGX0-kHA/edit?usp=sharing"",""แผน!HG81"")"),339)</f>
        <v>339</v>
      </c>
      <c r="J569" s="190">
        <f t="shared" si="248"/>
        <v>339</v>
      </c>
      <c r="K569" s="391">
        <f t="shared" ca="1" si="249"/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2103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278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185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51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72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10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IFERROR(__xludf.DUMMYFUNCTION("IMPORTRANGE(""https://docs.google.com/spreadsheets/d/1QqKyyYR6Q21VydFLVH3TRQUabQu_ym0Zz7PgGX0-kHA/edit?usp=sharing"",""แผน!HH81"")"),2360)</f>
        <v>2360</v>
      </c>
      <c r="J576" s="190">
        <f t="shared" ref="J576:J577" si="250">J578+J580+J582+J588+J590</f>
        <v>2360</v>
      </c>
      <c r="K576" s="391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IFERROR(__xludf.DUMMYFUNCTION("IMPORTRANGE(""https://docs.google.com/spreadsheets/d/1QqKyyYR6Q21VydFLVH3TRQUabQu_ym0Zz7PgGX0-kHA/edit?usp=sharing"",""แผน!HG81"")"),339)</f>
        <v>339</v>
      </c>
      <c r="J577" s="190">
        <f t="shared" si="250"/>
        <v>339</v>
      </c>
      <c r="K577" s="391">
        <f t="shared" ca="1" si="251"/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2096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278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191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51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73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10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73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10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0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0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217.49</v>
      </c>
      <c r="J592" s="630">
        <f t="shared" si="253"/>
        <v>16</v>
      </c>
      <c r="K592" s="631">
        <f t="shared" ref="K592:K594" ca="1" si="254">IF(I592&gt;0,J592*100/I592,0)</f>
        <v>7.3566600763253476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IFERROR(__xludf.DUMMYFUNCTION("IMPORTRANGE(""https://docs.google.com/spreadsheets/d/1QqKyyYR6Q21VydFLVH3TRQUabQu_ym0Zz7PgGX0-kHA/edit?usp=sharing"",""แผน!HJ81"")"),217.49)</f>
        <v>217.49</v>
      </c>
      <c r="J593" s="189">
        <f t="shared" ref="J593:J594" si="255">J595+J603+J609</f>
        <v>16</v>
      </c>
      <c r="K593" s="391">
        <f t="shared" ca="1" si="254"/>
        <v>7.3566600763253476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IFERROR(__xludf.DUMMYFUNCTION("IMPORTRANGE(""https://docs.google.com/spreadsheets/d/1QqKyyYR6Q21VydFLVH3TRQUabQu_ym0Zz7PgGX0-kHA/edit?usp=sharing"",""แผน!HI81"")"),29)</f>
        <v>29</v>
      </c>
      <c r="J594" s="189">
        <f t="shared" si="255"/>
        <v>8</v>
      </c>
      <c r="K594" s="391">
        <f t="shared" ca="1" si="254"/>
        <v>27.586206896551722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14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3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14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3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0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0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0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2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5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 hidden="1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 hidden="1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IFERROR(__xludf.DUMMYFUNCTION("IMPORTRANGE(""https://docs.google.com/spreadsheets/d/1QqKyyYR6Q21VydFLVH3TRQUabQu_ym0Zz7PgGX0-kHA/edit?usp=sharing"",""แผน!HL81"")"),10)</f>
        <v>10</v>
      </c>
      <c r="J620" s="675">
        <f t="shared" ref="J620:J621" si="260">J622+J624+J626</f>
        <v>0</v>
      </c>
      <c r="K620" s="676">
        <f t="shared" ref="K620:K621" ca="1" si="261">IF(I620&gt;0,J620*100/I620,0)</f>
        <v>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 hidden="1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IFERROR(__xludf.DUMMYFUNCTION("IMPORTRANGE(""https://docs.google.com/spreadsheets/d/1QqKyyYR6Q21VydFLVH3TRQUabQu_ym0Zz7PgGX0-kHA/edit?usp=sharing"",""แผน!HK81"")"),1)</f>
        <v>1</v>
      </c>
      <c r="J621" s="675">
        <f t="shared" si="260"/>
        <v>0</v>
      </c>
      <c r="K621" s="676">
        <f t="shared" ca="1" si="261"/>
        <v>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 hidden="1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0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 hidden="1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0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 hidden="1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0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 hidden="1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0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 hidden="1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 hidden="1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 hidden="1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0</v>
      </c>
      <c r="J628" s="686">
        <f t="shared" ca="1" si="262"/>
        <v>0</v>
      </c>
      <c r="K628" s="687">
        <f ca="1">IF(I628&gt;0,J628*100/I628,0)</f>
        <v>0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 hidden="1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 hidden="1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IFERROR(__xludf.DUMMYFUNCTION("IMPORTRANGE(""https://docs.google.com/spreadsheets/d/1QqKyyYR6Q21VydFLVH3TRQUabQu_ym0Zz7PgGX0-kHA/edit?usp=sharing"",""แผน!HN81"")"),0)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 hidden="1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 hidden="1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 hidden="1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 hidden="1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 hidden="1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IFERROR(__xludf.DUMMYFUNCTION("IMPORTRANGE(""https://docs.google.com/spreadsheets/d/1QqKyyYR6Q21VydFLVH3TRQUabQu_ym0Zz7PgGX0-kHA/edit?usp=sharing"",""แผน!HQ81"")"),0)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 hidden="1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 hidden="1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IFERROR(__xludf.DUMMYFUNCTION("IMPORTRANGE(""https://docs.google.com/spreadsheets/d/1QqKyyYR6Q21VydFLVH3TRQUabQu_ym0Zz7PgGX0-kHA/edit?usp=sharing"",""แผน!HR81"")"),0)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 hidden="1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IFERROR(__xludf.DUMMYFUNCTION("IMPORTRANGE(""https://docs.google.com/spreadsheets/d/1QqKyyYR6Q21VydFLVH3TRQUabQu_ym0Zz7PgGX0-kHA/edit?usp=sharing"",""แผน!HR81"")"),0)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 hidden="1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IFERROR(__xludf.DUMMYFUNCTION("IMPORTRANGE(""https://docs.google.com/spreadsheets/d/1XWAQStnk-4SwqDmLtmXYiTMKHgktTP8We1SCoS47DrQ/edit?usp=sharing"",""จัดที่ดิน!AS81"")"),0)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 hidden="1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IFERROR(__xludf.DUMMYFUNCTION("IMPORTRANGE(""https://docs.google.com/spreadsheets/d/1XWAQStnk-4SwqDmLtmXYiTMKHgktTP8We1SCoS47DrQ/edit?usp=sharing"",""จัดที่ดิน!AT81"")"),0)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 hidden="1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IFERROR(__xludf.DUMMYFUNCTION("IMPORTRANGE(""https://docs.google.com/spreadsheets/d/1QqKyyYR6Q21VydFLVH3TRQUabQu_ym0Zz7PgGX0-kHA/edit?usp=sharing"",""แผน!HS81"")"),0)</f>
        <v>0</v>
      </c>
      <c r="J647" s="37">
        <f ca="1">IFERROR(__xludf.DUMMYFUNCTION("IMPORTRANGE(""https://docs.google.com/spreadsheets/d/1XWAQStnk-4SwqDmLtmXYiTMKHgktTP8We1SCoS47DrQ/edit?usp=sharing"",""จัดที่ดิน!AU81"")"),0)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 hidden="1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IFERROR(__xludf.DUMMYFUNCTION("IMPORTRANGE(""https://docs.google.com/spreadsheets/d/1XWAQStnk-4SwqDmLtmXYiTMKHgktTP8We1SCoS47DrQ/edit?usp=sharing"",""จัดที่ดิน!AV81"")"),0)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 hidden="1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IFERROR(__xludf.DUMMYFUNCTION("IMPORTRANGE(""https://docs.google.com/spreadsheets/d/1QqKyyYR6Q21VydFLVH3TRQUabQu_ym0Zz7PgGX0-kHA/edit?usp=sharing"",""แผน!HS81"")"),0)</f>
        <v>0</v>
      </c>
      <c r="J649" s="37">
        <f ca="1">IFERROR(__xludf.DUMMYFUNCTION("IMPORTRANGE(""https://docs.google.com/spreadsheets/d/1XWAQStnk-4SwqDmLtmXYiTMKHgktTP8We1SCoS47DrQ/edit?usp=sharing"",""จัดที่ดิน!AW81"")"),0)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 hidden="1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IFERROR(__xludf.DUMMYFUNCTION("IMPORTRANGE(""https://docs.google.com/spreadsheets/d/1XWAQStnk-4SwqDmLtmXYiTMKHgktTP8We1SCoS47DrQ/edit?usp=sharing"",""จัดที่ดิน!AX81"")"),0)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 hidden="1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IFERROR(__xludf.DUMMYFUNCTION("IMPORTRANGE(""https://docs.google.com/spreadsheets/d/1QqKyyYR6Q21VydFLVH3TRQUabQu_ym0Zz7PgGX0-kHA/edit?usp=sharing"",""แผน!HS81"")"),0)</f>
        <v>0</v>
      </c>
      <c r="J651" s="37">
        <f ca="1">IFERROR(__xludf.DUMMYFUNCTION("IMPORTRANGE(""https://docs.google.com/spreadsheets/d/1XWAQStnk-4SwqDmLtmXYiTMKHgktTP8We1SCoS47DrQ/edit?usp=sharing"",""จัดที่ดิน!AY81"")"),0)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 hidden="1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IFERROR(__xludf.DUMMYFUNCTION("IMPORTRANGE(""https://docs.google.com/spreadsheets/d/1XWAQStnk-4SwqDmLtmXYiTMKHgktTP8We1SCoS47DrQ/edit?usp=sharing"",""จัดที่ดิน!AZ81"")"),0)</f>
        <v>0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 hidden="1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 hidden="1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0</v>
      </c>
      <c r="M655" s="191">
        <f t="shared" si="273"/>
        <v>0</v>
      </c>
      <c r="N655" s="191">
        <f t="shared" si="273"/>
        <v>0</v>
      </c>
      <c r="O655" s="191">
        <f t="shared" ref="O655:O660" ca="1" si="274">IF(L655&gt;0,N655*100/L655,0)</f>
        <v>0</v>
      </c>
      <c r="P655" s="191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0</v>
      </c>
      <c r="M657" s="45">
        <f t="shared" si="276"/>
        <v>0</v>
      </c>
      <c r="N657" s="45">
        <f t="shared" si="276"/>
        <v>0</v>
      </c>
      <c r="O657" s="45">
        <f t="shared" ca="1" si="274"/>
        <v>0</v>
      </c>
      <c r="P657" s="45">
        <f t="shared" si="275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 hidden="1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0</v>
      </c>
      <c r="M658" s="38">
        <f t="shared" si="277"/>
        <v>0</v>
      </c>
      <c r="N658" s="38">
        <f t="shared" si="277"/>
        <v>0</v>
      </c>
      <c r="O658" s="38">
        <f t="shared" ca="1" si="274"/>
        <v>0</v>
      </c>
      <c r="P658" s="38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IFERROR(__xludf.DUMMYFUNCTION("IMPORTRANGE(""https://docs.google.com/spreadsheets/d/1QqKyyYR6Q21VydFLVH3TRQUabQu_ym0Zz7PgGX0-kHA/edit?usp=sharing"",""แผน!HV81"")"),0)</f>
        <v>0</v>
      </c>
      <c r="M660" s="45">
        <v>0</v>
      </c>
      <c r="N660" s="45">
        <f>N661+N662+N663+N664</f>
        <v>0</v>
      </c>
      <c r="O660" s="45">
        <f t="shared" ca="1" si="274"/>
        <v>0</v>
      </c>
      <c r="P660" s="45">
        <f t="shared" si="275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 hidden="1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 hidden="1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 hidden="1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 hidden="1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0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 hidden="1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 hidden="1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 hidden="1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IFERROR(__xludf.DUMMYFUNCTION("IMPORTRANGE(""https://docs.google.com/spreadsheets/d/1QqKyyYR6Q21VydFLVH3TRQUabQu_ym0Zz7PgGX0-kHA/edit?usp=sharing"",""แผน!IA81"")"),0)</f>
        <v>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 hidden="1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IFERROR(__xludf.DUMMYFUNCTION("IMPORTRANGE(""https://docs.google.com/spreadsheets/d/1QqKyyYR6Q21VydFLVH3TRQUabQu_ym0Zz7PgGX0-kHA/edit?usp=sharing"",""แผน!HZ81"")"),0)</f>
        <v>0</v>
      </c>
      <c r="J670" s="181">
        <v>0</v>
      </c>
      <c r="K670" s="38">
        <f ca="1">IF(I670&gt;0,(J670*100)/I670,0)</f>
        <v>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 hidden="1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IFERROR(__xludf.DUMMYFUNCTION("IMPORTRANGE(""https://docs.google.com/spreadsheets/d/1QqKyyYR6Q21VydFLVH3TRQUabQu_ym0Zz7PgGX0-kHA/edit?usp=sharing"",""แผน!HZ81"")"),0)</f>
        <v>0</v>
      </c>
      <c r="J671" s="181">
        <v>0</v>
      </c>
      <c r="K671" s="38">
        <f ca="1">IF(I$671&gt;0,J671*100/I$671,0)</f>
        <v>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 hidden="1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 hidden="1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 hidden="1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 hidden="1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 hidden="1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 hidden="1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 hidden="1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IFERROR(__xludf.DUMMYFUNCTION("IMPORTRANGE(""https://docs.google.com/spreadsheets/d/1QqKyyYR6Q21VydFLVH3TRQUabQu_ym0Zz7PgGX0-kHA/edit?usp=sharing"",""แผน!IB81"")"),0)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 hidden="1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 hidden="1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 hidden="1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 hidden="1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 hidden="1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2000</v>
      </c>
      <c r="M685" s="191">
        <f t="shared" ca="1" si="282"/>
        <v>2000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2000</v>
      </c>
      <c r="M687" s="45">
        <f t="shared" ca="1" si="285"/>
        <v>2000</v>
      </c>
      <c r="N687" s="45">
        <f t="shared" si="285"/>
        <v>0</v>
      </c>
      <c r="O687" s="45">
        <f t="shared" ca="1" si="283"/>
        <v>0</v>
      </c>
      <c r="P687" s="45">
        <f t="shared" ca="1" si="28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2000</v>
      </c>
      <c r="M688" s="38">
        <f t="shared" ca="1" si="286"/>
        <v>2000</v>
      </c>
      <c r="N688" s="38">
        <f t="shared" si="286"/>
        <v>0</v>
      </c>
      <c r="O688" s="38">
        <f t="shared" ca="1" si="283"/>
        <v>0</v>
      </c>
      <c r="P688" s="38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IFERROR(__xludf.DUMMYFUNCTION("IMPORTRANGE(""https://docs.google.com/spreadsheets/d/1QqKyyYR6Q21VydFLVH3TRQUabQu_ym0Zz7PgGX0-kHA/edit?usp=sharing"",""แผน!HW81"")"),2000)</f>
        <v>2000</v>
      </c>
      <c r="M690" s="45">
        <f ca="1">L690</f>
        <v>2000</v>
      </c>
      <c r="N690" s="45">
        <f>N691+N692+N693+N694</f>
        <v>0</v>
      </c>
      <c r="O690" s="45">
        <f ca="1">IF(L690&gt;0,N690*100/L690,0)</f>
        <v>0</v>
      </c>
      <c r="P690" s="45">
        <f ca="1"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IFERROR(__xludf.DUMMYFUNCTION("IMPORTRANGE(""https://docs.google.com/spreadsheets/d/1QqKyyYR6Q21VydFLVH3TRQUabQu_ym0Zz7PgGX0-kHA/edit?usp=sharing"",""แผน!IC81"")"),0)</f>
        <v>0</v>
      </c>
      <c r="J699" s="37">
        <f ca="1">IFERROR(__xludf.DUMMYFUNCTION("IMPORTRANGE(""https://docs.google.com/spreadsheets/d/1XWAQStnk-4SwqDmLtmXYiTMKHgktTP8We1SCoS47DrQ/edit?usp=sharing"",""จัดที่ดิน!BB81"")"),0)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IFERROR(__xludf.DUMMYFUNCTION("IMPORTRANGE(""https://docs.google.com/spreadsheets/d/1QqKyyYR6Q21VydFLVH3TRQUabQu_ym0Zz7PgGX0-kHA/edit?usp=sharing"",""แผน!ID81"")"),0)</f>
        <v>0</v>
      </c>
      <c r="J700" s="37">
        <f ca="1">IFERROR(__xludf.DUMMYFUNCTION("IMPORTRANGE(""https://docs.google.com/spreadsheets/d/1XWAQStnk-4SwqDmLtmXYiTMKHgktTP8We1SCoS47DrQ/edit?usp=sharing"",""จัดที่ดิน!BD81"")"),0)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IFERROR(__xludf.DUMMYFUNCTION("IMPORTRANGE(""https://docs.google.com/spreadsheets/d/1QqKyyYR6Q21VydFLVH3TRQUabQu_ym0Zz7PgGX0-kHA/edit?usp=sharing"",""แผน!IE81"")"),50)</f>
        <v>50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IFERROR(__xludf.DUMMYFUNCTION("IMPORTRANGE(""https://docs.google.com/spreadsheets/d/1QqKyyYR6Q21VydFLVH3TRQUabQu_ym0Zz7PgGX0-kHA/edit?usp=sharing"",""แผน!IF81"")"),0)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IFERROR(__xludf.DUMMYFUNCTION("IMPORTRANGE(""https://docs.google.com/spreadsheets/d/1QqKyyYR6Q21VydFLVH3TRQUabQu_ym0Zz7PgGX0-kHA/edit?usp=sharing"",""แผน!IG81"")"),50)</f>
        <v>50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IFERROR(__xludf.DUMMYFUNCTION("IMPORTRANGE(""https://docs.google.com/spreadsheets/d/1QqKyyYR6Q21VydFLVH3TRQUabQu_ym0Zz7PgGX0-kHA/edit?usp=sharing"",""แผน!IH81"")"),0)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IFERROR(__xludf.DUMMYFUNCTION("IMPORTRANGE(""https://docs.google.com/spreadsheets/d/1XWAQStnk-4SwqDmLtmXYiTMKHgktTP8We1SCoS47DrQ/edit?usp=sharing"",""จัดที่ดิน!BF81"")"),0)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IFERROR(__xludf.DUMMYFUNCTION("IMPORTRANGE(""https://docs.google.com/spreadsheets/d/1XWAQStnk-4SwqDmLtmXYiTMKHgktTP8We1SCoS47DrQ/edit?usp=sharing"",""จัดที่ดิน!BG81"")"),0)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IFERROR(__xludf.DUMMYFUNCTION("IMPORTRANGE(""https://docs.google.com/spreadsheets/d/1QqKyyYR6Q21VydFLVH3TRQUabQu_ym0Zz7PgGX0-kHA/edit?usp=sharing"",""แผน!II81"")"),0)</f>
        <v>0</v>
      </c>
      <c r="J720" s="37">
        <f ca="1">IFERROR(__xludf.DUMMYFUNCTION("IMPORTRANGE(""https://docs.google.com/spreadsheets/d/1XWAQStnk-4SwqDmLtmXYiTMKHgktTP8We1SCoS47DrQ/edit?usp=sharing"",""จัดที่ดิน!BH81"")"),0)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IFERROR(__xludf.DUMMYFUNCTION("IMPORTRANGE(""https://docs.google.com/spreadsheets/d/1QqKyyYR6Q21VydFLVH3TRQUabQu_ym0Zz7PgGX0-kHA/edit?usp=sharing"",""แผน!IJ81"")"),0)</f>
        <v>0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IFERROR(__xludf.DUMMYFUNCTION("IMPORTRANGE(""https://docs.google.com/spreadsheets/d/1QqKyyYR6Q21VydFLVH3TRQUabQu_ym0Zz7PgGX0-kHA/edit?usp=sharing"",""แผน!IK81"")"),0)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IFERROR(__xludf.DUMMYFUNCTION("IMPORTRANGE(""https://docs.google.com/spreadsheets/d/1QqKyyYR6Q21VydFLVH3TRQUabQu_ym0Zz7PgGX0-kHA/edit?usp=sharing"",""แผน!IL81"")"),0)</f>
        <v>0</v>
      </c>
      <c r="J723" s="37">
        <f ca="1">IFERROR(__xludf.DUMMYFUNCTION("IMPORTRANGE(""https://docs.google.com/spreadsheets/d/1XWAQStnk-4SwqDmLtmXYiTMKHgktTP8We1SCoS47DrQ/edit?usp=sharing"",""จัดที่ดิน!BM81"")"),0)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IFERROR(__xludf.DUMMYFUNCTION("IMPORTRANGE(""https://docs.google.com/spreadsheets/d/1XWAQStnk-4SwqDmLtmXYiTMKHgktTP8We1SCoS47DrQ/edit?usp=sharing"",""จัดที่ดิน!BN81"")"),0)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IFERROR(__xludf.DUMMYFUNCTION("IMPORTRANGE(""https://docs.google.com/spreadsheets/d/1QqKyyYR6Q21VydFLVH3TRQUabQu_ym0Zz7PgGX0-kHA/edit?usp=sharing"",""แผน!IM81"")"),0)</f>
        <v>0</v>
      </c>
      <c r="J725" s="37">
        <f ca="1">IFERROR(__xludf.DUMMYFUNCTION("IMPORTRANGE(""https://docs.google.com/spreadsheets/d/1XWAQStnk-4SwqDmLtmXYiTMKHgktTP8We1SCoS47DrQ/edit?usp=sharing"",""จัดที่ดิน!BO81"")"),0)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IFERROR(__xludf.DUMMYFUNCTION("IMPORTRANGE(""https://docs.google.com/spreadsheets/d/1QqKyyYR6Q21VydFLVH3TRQUabQu_ym0Zz7PgGX0-kHA/edit?usp=sharing"",""แผน!IN81"")"),0)</f>
        <v>0</v>
      </c>
      <c r="J726" s="37">
        <f ca="1">IFERROR(__xludf.DUMMYFUNCTION("IMPORTRANGE(""https://docs.google.com/spreadsheets/d/1XWAQStnk-4SwqDmLtmXYiTMKHgktTP8We1SCoS47DrQ/edit?usp=sharing"",""จัดที่ดิน!BR81"")"),0)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IFERROR(__xludf.DUMMYFUNCTION("IMPORTRANGE(""https://docs.google.com/spreadsheets/d/1XWAQStnk-4SwqDmLtmXYiTMKHgktTP8We1SCoS47DrQ/edit?usp=sharing"",""จัดที่ดิน!BS81"")"),0)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IFERROR(__xludf.DUMMYFUNCTION("IMPORTRANGE(""https://docs.google.com/spreadsheets/d/1QqKyyYR6Q21VydFLVH3TRQUabQu_ym0Zz7PgGX0-kHA/edit?usp=sharing"",""แผน!IO81"")"),0)</f>
        <v>0</v>
      </c>
      <c r="J728" s="37">
        <f ca="1">IFERROR(__xludf.DUMMYFUNCTION("IMPORTRANGE(""https://docs.google.com/spreadsheets/d/1XWAQStnk-4SwqDmLtmXYiTMKHgktTP8We1SCoS47DrQ/edit?usp=sharing"",""จัดที่ดิน!BT81"")"),0)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IFERROR(__xludf.DUMMYFUNCTION("IMPORTRANGE(""https://docs.google.com/spreadsheets/d/1QqKyyYR6Q21VydFLVH3TRQUabQu_ym0Zz7PgGX0-kHA/edit?usp=sharing"",""แผน!IP81"")"),0)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IFERROR(__xludf.DUMMYFUNCTION("IMPORTRANGE(""https://docs.google.com/spreadsheets/d/1QqKyyYR6Q21VydFLVH3TRQUabQu_ym0Zz7PgGX0-kHA/edit?usp=sharing"",""แผน!JJ81"")"),0)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IFERROR(__xludf.DUMMYFUNCTION("IMPORTRANGE(""https://docs.google.com/spreadsheets/d/1QqKyyYR6Q21VydFLVH3TRQUabQu_ym0Zz7PgGX0-kHA/edit?usp=sharing"",""แผน!JN81"")"),0)</f>
        <v>0</v>
      </c>
      <c r="J800" s="161">
        <f ca="1">IFERROR(__xludf.DUMMYFUNCTION("IMPORTRANGE(""https://docs.google.com/spreadsheets/d/1MaWodYyGHDf7siQLGxnXhG4mBNTNIuy296niS2xXulU/edit?usp=sharing"",""RTK!H81"")"),0)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IFERROR(__xludf.DUMMYFUNCTION("IMPORTRANGE(""https://docs.google.com/spreadsheets/d/1MaWodYyGHDf7siQLGxnXhG4mBNTNIuy296niS2xXulU/edit?usp=sharing"",""RTK!I81"")"),0)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341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37">
        <f ca="1">IFERROR(__xludf.DUMMYFUNCTION("IMPORTRANGE(""https://docs.google.com/spreadsheets/d/19vJNZY_5yjcGF2XGBMNZRCAIB0Kwfpjp8YEOfu-bneM/edit?usp=sharing"",""งานกองทุน!F81"")"),1109420.25)</f>
        <v>1109420.25</v>
      </c>
      <c r="K821" s="38">
        <f t="shared" ref="K821:K828" ca="1" si="335">IF(I821&gt;0,J821*100/I821,0)</f>
        <v>89.481280340024597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IFERROR(__xludf.DUMMYFUNCTION("IMPORTRANGE(""https://docs.google.com/spreadsheets/d/19vJNZY_5yjcGF2XGBMNZRCAIB0Kwfpjp8YEOfu-bneM/edit?usp=sharing"",""งานกองทุน!C81"")"),93)</f>
        <v>93</v>
      </c>
      <c r="J822" s="37">
        <f ca="1">IFERROR(__xludf.DUMMYFUNCTION("IMPORTRANGE(""https://docs.google.com/spreadsheets/d/19vJNZY_5yjcGF2XGBMNZRCAIB0Kwfpjp8YEOfu-bneM/edit?usp=sharing"",""งานกองทุน!E81"")"),88)</f>
        <v>88</v>
      </c>
      <c r="K822" s="38">
        <f t="shared" ca="1" si="335"/>
        <v>94.623655913978496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37">
        <f ca="1">IFERROR(__xludf.DUMMYFUNCTION("IMPORTRANGE(""https://docs.google.com/spreadsheets/d/19vJNZY_5yjcGF2XGBMNZRCAIB0Kwfpjp8YEOfu-bneM/edit?usp=sharing"",""งานกองทุน!K81"")"),57542.23)</f>
        <v>57542.23</v>
      </c>
      <c r="K823" s="38">
        <f t="shared" ca="1" si="335"/>
        <v>21.86328370603329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IFERROR(__xludf.DUMMYFUNCTION("IMPORTRANGE(""https://docs.google.com/spreadsheets/d/19vJNZY_5yjcGF2XGBMNZRCAIB0Kwfpjp8YEOfu-bneM/edit?usp=sharing"",""งานกองทุน!H81"")"),11)</f>
        <v>11</v>
      </c>
      <c r="J824" s="37">
        <f ca="1">IFERROR(__xludf.DUMMYFUNCTION("IMPORTRANGE(""https://docs.google.com/spreadsheets/d/19vJNZY_5yjcGF2XGBMNZRCAIB0Kwfpjp8YEOfu-bneM/edit?usp=sharing"",""งานกองทุน!J81"")"),6)</f>
        <v>6</v>
      </c>
      <c r="K824" s="38">
        <f t="shared" ca="1" si="335"/>
        <v>54.545454545454547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IFERROR(__xludf.DUMMYFUNCTION("IMPORTRANGE(""https://docs.google.com/spreadsheets/d/19vJNZY_5yjcGF2XGBMNZRCAIB0Kwfpjp8YEOfu-bneM/edit?usp=sharing"",""งานกองทุน!N81"")"),29366.44)</f>
        <v>29366.44</v>
      </c>
      <c r="J825" s="37">
        <f ca="1">IFERROR(__xludf.DUMMYFUNCTION("IMPORTRANGE(""https://docs.google.com/spreadsheets/d/19vJNZY_5yjcGF2XGBMNZRCAIB0Kwfpjp8YEOfu-bneM/edit?usp=sharing"",""งานกองทุน!P81"")"),19474.7)</f>
        <v>19474.7</v>
      </c>
      <c r="K825" s="38">
        <f t="shared" ca="1" si="335"/>
        <v>66.316175879677616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IFERROR(__xludf.DUMMYFUNCTION("IMPORTRANGE(""https://docs.google.com/spreadsheets/d/19vJNZY_5yjcGF2XGBMNZRCAIB0Kwfpjp8YEOfu-bneM/edit?usp=sharing"",""งานกองทุน!M81"")"),51)</f>
        <v>51</v>
      </c>
      <c r="J826" s="37">
        <f ca="1">IFERROR(__xludf.DUMMYFUNCTION("IMPORTRANGE(""https://docs.google.com/spreadsheets/d/19vJNZY_5yjcGF2XGBMNZRCAIB0Kwfpjp8YEOfu-bneM/edit?usp=sharing"",""งานกองทุน!O81"")"),41)</f>
        <v>41</v>
      </c>
      <c r="K826" s="38">
        <f t="shared" ca="1" si="335"/>
        <v>80.392156862745097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IFERROR(__xludf.DUMMYFUNCTION("IMPORTRANGE(""https://docs.google.com/spreadsheets/d/19vJNZY_5yjcGF2XGBMNZRCAIB0Kwfpjp8YEOfu-bneM/edit?usp=sharing"",""งานกองทุน!S81"")"),700000)</f>
        <v>700000</v>
      </c>
      <c r="J827" s="37">
        <f ca="1">IFERROR(__xludf.DUMMYFUNCTION("IMPORTRANGE(""https://docs.google.com/spreadsheets/d/19vJNZY_5yjcGF2XGBMNZRCAIB0Kwfpjp8YEOfu-bneM/edit?usp=sharing"",""งานกองทุน!U81"")"),600000)</f>
        <v>600000</v>
      </c>
      <c r="K827" s="38">
        <f t="shared" ca="1" si="335"/>
        <v>85.714285714285708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IFERROR(__xludf.DUMMYFUNCTION("IMPORTRANGE(""https://docs.google.com/spreadsheets/d/19vJNZY_5yjcGF2XGBMNZRCAIB0Kwfpjp8YEOfu-bneM/edit?usp=sharing"",""งานกองทุน!R81"")"),28)</f>
        <v>28</v>
      </c>
      <c r="J828" s="365">
        <f ca="1">IFERROR(__xludf.DUMMYFUNCTION("IMPORTRANGE(""https://docs.google.com/spreadsheets/d/19vJNZY_5yjcGF2XGBMNZRCAIB0Kwfpjp8YEOfu-bneM/edit?usp=sharing"",""งานกองทุน!T81"")"),15)</f>
        <v>15</v>
      </c>
      <c r="K828" s="475">
        <f t="shared" ca="1" si="335"/>
        <v>53.571428571428569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4A47F-D270-4FA3-8446-06EA81A5870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6328125" defaultRowHeight="15.75" customHeight="1"/>
  <cols>
    <col min="1" max="3" width="3.26953125" customWidth="1"/>
    <col min="4" max="6" width="5.90625" customWidth="1"/>
    <col min="7" max="7" width="56.36328125" customWidth="1"/>
    <col min="8" max="8" width="9.453125" customWidth="1"/>
    <col min="9" max="9" width="15.08984375" customWidth="1"/>
    <col min="10" max="10" width="15.36328125" bestFit="1" customWidth="1"/>
    <col min="11" max="11" width="11.4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26" ht="19">
      <c r="A1" s="763" t="s">
        <v>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</row>
    <row r="2" spans="1:26" ht="19">
      <c r="A2" s="763" t="s">
        <v>344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</row>
    <row r="3" spans="1:26" ht="19">
      <c r="A3" s="763" t="s">
        <v>354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</row>
    <row r="4" spans="1:26" ht="12.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">
      <c r="A5" s="771" t="s">
        <v>2</v>
      </c>
      <c r="B5" s="764"/>
      <c r="C5" s="764"/>
      <c r="D5" s="764"/>
      <c r="E5" s="764"/>
      <c r="F5" s="764"/>
      <c r="G5" s="772"/>
      <c r="H5" s="765" t="s">
        <v>3</v>
      </c>
      <c r="I5" s="767" t="s">
        <v>4</v>
      </c>
      <c r="J5" s="768"/>
      <c r="K5" s="766"/>
      <c r="L5" s="769" t="s">
        <v>5</v>
      </c>
      <c r="M5" s="766"/>
      <c r="N5" s="770" t="s">
        <v>6</v>
      </c>
      <c r="O5" s="768"/>
      <c r="P5" s="766"/>
    </row>
    <row r="6" spans="1:26" ht="19">
      <c r="A6" s="773"/>
      <c r="B6" s="768"/>
      <c r="C6" s="768"/>
      <c r="D6" s="768"/>
      <c r="E6" s="768"/>
      <c r="F6" s="768"/>
      <c r="G6" s="766"/>
      <c r="H6" s="76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">
      <c r="A7" s="774" t="s">
        <v>15</v>
      </c>
      <c r="B7" s="768"/>
      <c r="C7" s="768"/>
      <c r="D7" s="768"/>
      <c r="E7" s="768"/>
      <c r="F7" s="768"/>
      <c r="G7" s="766"/>
      <c r="H7" s="11"/>
      <c r="I7" s="12"/>
      <c r="J7" s="12"/>
      <c r="K7" s="13"/>
      <c r="L7" s="13"/>
      <c r="M7" s="13"/>
      <c r="N7" s="13"/>
      <c r="O7" s="13"/>
      <c r="P7" s="13"/>
    </row>
    <row r="8" spans="1:26" ht="19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4673138</v>
      </c>
      <c r="M8" s="22">
        <f t="shared" ca="1" si="0"/>
        <v>4807858</v>
      </c>
      <c r="N8" s="22">
        <f t="shared" ca="1" si="0"/>
        <v>3827017.6100000003</v>
      </c>
      <c r="O8" s="22">
        <f t="shared" ref="O8:O16" ca="1" si="1">IF(L8&gt;0,N8*100/L8,0)</f>
        <v>81.893956694623625</v>
      </c>
      <c r="P8" s="22">
        <f t="shared" ref="P8:P16" ca="1" si="2">IF(M8&gt;0,N8*100/M8,0)</f>
        <v>79.59922298037921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9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9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4673138</v>
      </c>
      <c r="M10" s="30">
        <f t="shared" ca="1" si="3"/>
        <v>4807858</v>
      </c>
      <c r="N10" s="30">
        <f t="shared" ca="1" si="3"/>
        <v>3827017.6100000003</v>
      </c>
      <c r="O10" s="30">
        <f t="shared" ca="1" si="1"/>
        <v>81.893956694623625</v>
      </c>
      <c r="P10" s="30">
        <f t="shared" ca="1" si="2"/>
        <v>79.59922298037921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9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4">L12+L13</f>
        <v>4319138</v>
      </c>
      <c r="M11" s="38">
        <f t="shared" ca="1" si="4"/>
        <v>4453858</v>
      </c>
      <c r="N11" s="38">
        <f t="shared" ca="1" si="4"/>
        <v>3473017.6100000003</v>
      </c>
      <c r="O11" s="38">
        <f t="shared" ca="1" si="1"/>
        <v>80.409970924753978</v>
      </c>
      <c r="P11" s="38">
        <f t="shared" ca="1" si="2"/>
        <v>77.977735482361595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9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3" si="5">L22+L32</f>
        <v>0</v>
      </c>
      <c r="M12" s="45">
        <f t="shared" si="5"/>
        <v>0</v>
      </c>
      <c r="N12" s="45">
        <f t="shared" si="5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9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ca="1" si="5"/>
        <v>4319138</v>
      </c>
      <c r="M13" s="45">
        <f t="shared" ca="1" si="5"/>
        <v>4453858</v>
      </c>
      <c r="N13" s="45">
        <f t="shared" ca="1" si="5"/>
        <v>3473017.6100000003</v>
      </c>
      <c r="O13" s="45">
        <f t="shared" ca="1" si="1"/>
        <v>80.409970924753978</v>
      </c>
      <c r="P13" s="45">
        <f t="shared" ca="1" si="2"/>
        <v>77.977735482361595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9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6">L15+L16</f>
        <v>354000</v>
      </c>
      <c r="M14" s="38">
        <f t="shared" ca="1" si="6"/>
        <v>354000</v>
      </c>
      <c r="N14" s="38">
        <f t="shared" ca="1" si="6"/>
        <v>354000</v>
      </c>
      <c r="O14" s="38">
        <f t="shared" ca="1" si="1"/>
        <v>100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9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6" si="7">L25+L35</f>
        <v>0</v>
      </c>
      <c r="M15" s="45">
        <f t="shared" si="7"/>
        <v>0</v>
      </c>
      <c r="N15" s="45">
        <f t="shared" si="7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9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354000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">
      <c r="A17" s="774" t="s">
        <v>22</v>
      </c>
      <c r="B17" s="768"/>
      <c r="C17" s="768"/>
      <c r="D17" s="768"/>
      <c r="E17" s="768"/>
      <c r="F17" s="768"/>
      <c r="G17" s="76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3535250</v>
      </c>
      <c r="N18" s="22">
        <f t="shared" ca="1" si="8"/>
        <v>2869787.16</v>
      </c>
      <c r="O18" s="22">
        <f t="shared" ref="O18:O26" ca="1" si="9">IF(L18&gt;0,N18*100/L18,0)</f>
        <v>84.392349427883303</v>
      </c>
      <c r="P18" s="22">
        <f t="shared" ref="P18:P26" ca="1" si="10">IF(M18&gt;0,N18*100/M18,0)</f>
        <v>81.176356976168591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9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9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3535250</v>
      </c>
      <c r="N20" s="30">
        <f t="shared" ca="1" si="11"/>
        <v>2869787.16</v>
      </c>
      <c r="O20" s="30">
        <f t="shared" ca="1" si="9"/>
        <v>84.392349427883303</v>
      </c>
      <c r="P20" s="30">
        <f t="shared" ca="1" si="10"/>
        <v>81.176356976168591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9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2">L22+L23</f>
        <v>3046530</v>
      </c>
      <c r="M21" s="38">
        <f t="shared" ca="1" si="12"/>
        <v>3181250</v>
      </c>
      <c r="N21" s="38">
        <f t="shared" ca="1" si="12"/>
        <v>2515787.16</v>
      </c>
      <c r="O21" s="38">
        <f t="shared" ca="1" si="9"/>
        <v>82.578775196699198</v>
      </c>
      <c r="P21" s="38">
        <f t="shared" ca="1" si="10"/>
        <v>79.081718192534382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9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3" si="13">L45+L57+L70+L92+L123+L136+L153+L185+L169+L265+L281+L302+L319+L332+L349+L393+L406</f>
        <v>0</v>
      </c>
      <c r="M22" s="45">
        <f t="shared" si="13"/>
        <v>0</v>
      </c>
      <c r="N22" s="45">
        <f t="shared" si="13"/>
        <v>0</v>
      </c>
      <c r="O22" s="45">
        <f t="shared" si="9"/>
        <v>0</v>
      </c>
      <c r="P22" s="45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9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ca="1" si="13"/>
        <v>3046530</v>
      </c>
      <c r="M23" s="45">
        <f t="shared" ca="1" si="13"/>
        <v>3181250</v>
      </c>
      <c r="N23" s="45">
        <f t="shared" ca="1" si="13"/>
        <v>2515787.16</v>
      </c>
      <c r="O23" s="45">
        <f t="shared" ca="1" si="9"/>
        <v>82.578775196699198</v>
      </c>
      <c r="P23" s="45">
        <f t="shared" ca="1" si="10"/>
        <v>79.081718192534382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9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4">L25+L26</f>
        <v>354000</v>
      </c>
      <c r="M24" s="38">
        <f t="shared" ca="1" si="14"/>
        <v>354000</v>
      </c>
      <c r="N24" s="38">
        <f t="shared" ca="1" si="14"/>
        <v>354000</v>
      </c>
      <c r="O24" s="38">
        <f t="shared" ca="1" si="9"/>
        <v>100</v>
      </c>
      <c r="P24" s="3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9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6" si="15">L48+L60+L73+L95+L126+L139+L156+L188+L172+L268+L284+L305+L322+L335+L352+L396+L409</f>
        <v>0</v>
      </c>
      <c r="M25" s="45">
        <f t="shared" si="15"/>
        <v>0</v>
      </c>
      <c r="N25" s="45">
        <f t="shared" si="15"/>
        <v>0</v>
      </c>
      <c r="O25" s="45">
        <f t="shared" si="9"/>
        <v>0</v>
      </c>
      <c r="P25" s="45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9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354000</v>
      </c>
      <c r="M26" s="52">
        <f t="shared" ca="1" si="15"/>
        <v>354000</v>
      </c>
      <c r="N26" s="52">
        <f t="shared" ca="1" si="15"/>
        <v>354000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">
      <c r="A27" s="774" t="s">
        <v>23</v>
      </c>
      <c r="B27" s="768"/>
      <c r="C27" s="768"/>
      <c r="D27" s="768"/>
      <c r="E27" s="768"/>
      <c r="F27" s="768"/>
      <c r="G27" s="76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1272608</v>
      </c>
      <c r="M28" s="22">
        <f t="shared" ca="1" si="16"/>
        <v>1272608</v>
      </c>
      <c r="N28" s="22">
        <f t="shared" si="16"/>
        <v>957230.45</v>
      </c>
      <c r="O28" s="22">
        <f t="shared" ref="O28:O37" ca="1" si="17">IF(L28&gt;0,N28*100/L28,0)</f>
        <v>75.218012930926093</v>
      </c>
      <c r="P28" s="22">
        <f t="shared" ref="P28:P37" ca="1" si="18">IF(M28&gt;0,N28*100/M28,0)</f>
        <v>75.218012930926093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9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9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1272608</v>
      </c>
      <c r="M30" s="30">
        <f t="shared" ca="1" si="19"/>
        <v>1272608</v>
      </c>
      <c r="N30" s="30">
        <f t="shared" si="19"/>
        <v>957230.45</v>
      </c>
      <c r="O30" s="30">
        <f t="shared" ca="1" si="17"/>
        <v>75.218012930926093</v>
      </c>
      <c r="P30" s="30">
        <f t="shared" ca="1" si="18"/>
        <v>75.218012930926093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9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0">L32+L33</f>
        <v>1272608</v>
      </c>
      <c r="M31" s="38">
        <f t="shared" ca="1" si="20"/>
        <v>1272608</v>
      </c>
      <c r="N31" s="38">
        <f t="shared" si="20"/>
        <v>957230.45</v>
      </c>
      <c r="O31" s="38">
        <f t="shared" ca="1" si="17"/>
        <v>75.218012930926093</v>
      </c>
      <c r="P31" s="38">
        <f t="shared" ca="1" si="18"/>
        <v>75.218012930926093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9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3" si="21">L423+L448+L471+L506+L527+L548+L633+L659+L689+L741+L758+L774+L790+L809</f>
        <v>0</v>
      </c>
      <c r="M32" s="45">
        <f t="shared" si="21"/>
        <v>0</v>
      </c>
      <c r="N32" s="45">
        <f t="shared" si="21"/>
        <v>0</v>
      </c>
      <c r="O32" s="45">
        <f t="shared" si="17"/>
        <v>0</v>
      </c>
      <c r="P32" s="45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9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ca="1" si="21"/>
        <v>1272608</v>
      </c>
      <c r="M33" s="45">
        <f t="shared" ca="1" si="21"/>
        <v>1272608</v>
      </c>
      <c r="N33" s="45">
        <f t="shared" si="21"/>
        <v>957230.45</v>
      </c>
      <c r="O33" s="45">
        <f t="shared" ca="1" si="17"/>
        <v>75.218012930926093</v>
      </c>
      <c r="P33" s="45">
        <f t="shared" ca="1" si="18"/>
        <v>75.218012930926093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9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22">L35+L36</f>
        <v>0</v>
      </c>
      <c r="M34" s="38">
        <f t="shared" si="22"/>
        <v>0</v>
      </c>
      <c r="N34" s="38">
        <f t="shared" si="22"/>
        <v>0</v>
      </c>
      <c r="O34" s="38">
        <f t="shared" ca="1" si="17"/>
        <v>0</v>
      </c>
      <c r="P34" s="3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9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6" si="23">L430+L455+L478+L513+L534+L556+L640+L666+L696+L748+L765+L781+L797+L816</f>
        <v>0</v>
      </c>
      <c r="M35" s="45">
        <f t="shared" si="23"/>
        <v>0</v>
      </c>
      <c r="N35" s="45">
        <f t="shared" si="23"/>
        <v>0</v>
      </c>
      <c r="O35" s="45">
        <f t="shared" si="17"/>
        <v>0</v>
      </c>
      <c r="P35" s="45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">
      <c r="A37" s="786" t="s">
        <v>24</v>
      </c>
      <c r="B37" s="787"/>
      <c r="C37" s="787"/>
      <c r="D37" s="787"/>
      <c r="E37" s="787"/>
      <c r="F37" s="787"/>
      <c r="G37" s="788"/>
      <c r="H37" s="789"/>
      <c r="I37" s="790"/>
      <c r="J37" s="790"/>
      <c r="K37" s="791"/>
      <c r="L37" s="792">
        <f t="shared" ref="L37:N37" ca="1" si="24">L41+L53+L66+L88+L119+L132+L149+L165+L181+L261+L277+L298+L315+L328+L345+L389+L402</f>
        <v>3400530</v>
      </c>
      <c r="M37" s="792">
        <f t="shared" ca="1" si="24"/>
        <v>3535250</v>
      </c>
      <c r="N37" s="792">
        <f t="shared" ca="1" si="24"/>
        <v>2869787.16</v>
      </c>
      <c r="O37" s="792">
        <f t="shared" ca="1" si="17"/>
        <v>84.392349427883303</v>
      </c>
      <c r="P37" s="792">
        <f t="shared" ca="1" si="18"/>
        <v>81.176356976168591</v>
      </c>
    </row>
    <row r="38" spans="1:26" ht="19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">
      <c r="A40" s="73"/>
      <c r="B40" s="775" t="s">
        <v>27</v>
      </c>
      <c r="C40" s="776"/>
      <c r="D40" s="776"/>
      <c r="E40" s="776"/>
      <c r="F40" s="776"/>
      <c r="G40" s="777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">
      <c r="A41" s="77"/>
      <c r="B41" s="78"/>
      <c r="C41" s="79" t="s">
        <v>16</v>
      </c>
      <c r="D41" s="79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560900</v>
      </c>
      <c r="M41" s="85">
        <f t="shared" ca="1" si="25"/>
        <v>575360</v>
      </c>
      <c r="N41" s="85">
        <f t="shared" ca="1" si="25"/>
        <v>391750.40000000002</v>
      </c>
      <c r="O41" s="85">
        <f t="shared" ref="O41:O49" ca="1" si="26">IF(L41&gt;0,N41*100/L41,0)</f>
        <v>69.843180602602956</v>
      </c>
      <c r="P41" s="85">
        <f t="shared" ref="P41:P49" ca="1" si="27">IF(M41&gt;0,N41*100/M41,0)</f>
        <v>68.087875417130149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9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9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560900</v>
      </c>
      <c r="M43" s="92">
        <f t="shared" ca="1" si="28"/>
        <v>575360</v>
      </c>
      <c r="N43" s="92">
        <f t="shared" ca="1" si="28"/>
        <v>391750.40000000002</v>
      </c>
      <c r="O43" s="92">
        <f t="shared" ca="1" si="26"/>
        <v>69.843180602602956</v>
      </c>
      <c r="P43" s="92">
        <f t="shared" ca="1" si="27"/>
        <v>68.087875417130149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9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29">L45+L46</f>
        <v>560900</v>
      </c>
      <c r="M44" s="38">
        <f t="shared" ca="1" si="29"/>
        <v>575360</v>
      </c>
      <c r="N44" s="38">
        <f t="shared" ca="1" si="29"/>
        <v>391750.40000000002</v>
      </c>
      <c r="O44" s="38">
        <f t="shared" ca="1" si="26"/>
        <v>69.843180602602956</v>
      </c>
      <c r="P44" s="38">
        <f t="shared" ca="1" si="27"/>
        <v>68.087875417130149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9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45">
        <v>0</v>
      </c>
      <c r="M45" s="45">
        <v>0</v>
      </c>
      <c r="N45" s="45">
        <v>0</v>
      </c>
      <c r="O45" s="45">
        <f t="shared" si="26"/>
        <v>0</v>
      </c>
      <c r="P45" s="45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IFERROR(__xludf.DUMMYFUNCTION("IMPORTRANGE(""https://docs.google.com/spreadsheets/d/1MeEWN-I1oV_STSDYn1IFDPWt_1FKiwhDph83XaGc0o0/edit?usp=sharing"",""งบพรบ!M82"")"),560900)</f>
        <v>560900</v>
      </c>
      <c r="M46" s="45">
        <f ca="1">IFERROR(__xludf.DUMMYFUNCTION("IMPORTRANGE(""https://docs.google.com/spreadsheets/d/1MeEWN-I1oV_STSDYn1IFDPWt_1FKiwhDph83XaGc0o0/edit?usp=sharing"",""งบพรบ!R82"")"),575360)</f>
        <v>575360</v>
      </c>
      <c r="N46" s="45">
        <f ca="1">IFERROR(__xludf.DUMMYFUNCTION("IMPORTRANGE(""https://docs.google.com/spreadsheets/d/1MeEWN-I1oV_STSDYn1IFDPWt_1FKiwhDph83XaGc0o0/edit?usp=sharing"",""งบพรบ!T82"")"),391750.4)</f>
        <v>391750.40000000002</v>
      </c>
      <c r="O46" s="45">
        <f t="shared" ca="1" si="26"/>
        <v>69.843180602602956</v>
      </c>
      <c r="P46" s="45">
        <f t="shared" ca="1" si="27"/>
        <v>68.087875417130149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9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0">L48+L49</f>
        <v>0</v>
      </c>
      <c r="M47" s="38">
        <f t="shared" ca="1" si="30"/>
        <v>0</v>
      </c>
      <c r="N47" s="38">
        <f t="shared" ca="1" si="30"/>
        <v>0</v>
      </c>
      <c r="O47" s="38">
        <f t="shared" ca="1" si="26"/>
        <v>0</v>
      </c>
      <c r="P47" s="3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9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45">
        <v>0</v>
      </c>
      <c r="M48" s="45">
        <v>0</v>
      </c>
      <c r="N48" s="45">
        <v>0</v>
      </c>
      <c r="O48" s="45">
        <f t="shared" si="26"/>
        <v>0</v>
      </c>
      <c r="P48" s="45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9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">
      <c r="A50" s="778" t="s">
        <v>28</v>
      </c>
      <c r="B50" s="768"/>
      <c r="C50" s="768"/>
      <c r="D50" s="768"/>
      <c r="E50" s="768"/>
      <c r="F50" s="768"/>
      <c r="G50" s="766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">
      <c r="A51" s="96"/>
      <c r="B51" s="779" t="s">
        <v>29</v>
      </c>
      <c r="C51" s="776"/>
      <c r="D51" s="776"/>
      <c r="E51" s="776"/>
      <c r="F51" s="776"/>
      <c r="G51" s="777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">
      <c r="A53" s="107"/>
      <c r="B53" s="108"/>
      <c r="C53" s="109" t="s">
        <v>16</v>
      </c>
      <c r="D53" s="794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607300</v>
      </c>
      <c r="M53" s="115">
        <f t="shared" ca="1" si="31"/>
        <v>616800</v>
      </c>
      <c r="N53" s="115">
        <f t="shared" ca="1" si="31"/>
        <v>551036.24</v>
      </c>
      <c r="O53" s="115">
        <f t="shared" ref="O53:O61" ca="1" si="32">IF(L53&gt;0,N53*100/L53,0)</f>
        <v>90.735425654536471</v>
      </c>
      <c r="P53" s="115">
        <f t="shared" ref="P53:P61" ca="1" si="33">IF(M53&gt;0,N53*100/M53,0)</f>
        <v>89.337911802853441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9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9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607300</v>
      </c>
      <c r="M55" s="122">
        <f t="shared" ca="1" si="34"/>
        <v>616800</v>
      </c>
      <c r="N55" s="122">
        <f t="shared" ca="1" si="34"/>
        <v>551036.24</v>
      </c>
      <c r="O55" s="122">
        <f t="shared" ca="1" si="32"/>
        <v>90.735425654536471</v>
      </c>
      <c r="P55" s="122">
        <f t="shared" ca="1" si="33"/>
        <v>89.337911802853441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9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35">L57+L58</f>
        <v>607300</v>
      </c>
      <c r="M56" s="38">
        <f t="shared" ca="1" si="35"/>
        <v>616800</v>
      </c>
      <c r="N56" s="38">
        <f t="shared" ca="1" si="35"/>
        <v>551036.24</v>
      </c>
      <c r="O56" s="38">
        <f t="shared" ca="1" si="32"/>
        <v>90.735425654536471</v>
      </c>
      <c r="P56" s="38">
        <f t="shared" ca="1" si="33"/>
        <v>89.337911802853441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9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45">
        <v>0</v>
      </c>
      <c r="M57" s="45">
        <v>0</v>
      </c>
      <c r="N57" s="45">
        <v>0</v>
      </c>
      <c r="O57" s="45">
        <f t="shared" si="32"/>
        <v>0</v>
      </c>
      <c r="P57" s="45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9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IFERROR(__xludf.DUMMYFUNCTION("IMPORTRANGE(""https://docs.google.com/spreadsheets/d/1MeEWN-I1oV_STSDYn1IFDPWt_1FKiwhDph83XaGc0o0/edit?usp=sharing"",""งบพรบ!W82"")"),607300)</f>
        <v>607300</v>
      </c>
      <c r="M58" s="45">
        <f ca="1">IFERROR(__xludf.DUMMYFUNCTION("IMPORTRANGE(""https://docs.google.com/spreadsheets/d/1MeEWN-I1oV_STSDYn1IFDPWt_1FKiwhDph83XaGc0o0/edit?usp=sharing"",""งบพรบ!AB82"")"),616800)</f>
        <v>616800</v>
      </c>
      <c r="N58" s="45">
        <f ca="1">IFERROR(__xludf.DUMMYFUNCTION("IMPORTRANGE(""https://docs.google.com/spreadsheets/d/1MeEWN-I1oV_STSDYn1IFDPWt_1FKiwhDph83XaGc0o0/edit?usp=sharing"",""งบพรบ!AD82"")"),551036.24)</f>
        <v>551036.24</v>
      </c>
      <c r="O58" s="45">
        <f t="shared" ca="1" si="32"/>
        <v>90.735425654536471</v>
      </c>
      <c r="P58" s="45">
        <f t="shared" ca="1" si="33"/>
        <v>89.337911802853441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9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36">L60+L61</f>
        <v>0</v>
      </c>
      <c r="M59" s="38">
        <f t="shared" ca="1" si="36"/>
        <v>0</v>
      </c>
      <c r="N59" s="38">
        <f t="shared" ca="1" si="36"/>
        <v>0</v>
      </c>
      <c r="O59" s="38">
        <f t="shared" ca="1" si="32"/>
        <v>0</v>
      </c>
      <c r="P59" s="3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9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45">
        <v>0</v>
      </c>
      <c r="M60" s="45">
        <v>0</v>
      </c>
      <c r="N60" s="45">
        <v>0</v>
      </c>
      <c r="O60" s="45">
        <f t="shared" si="32"/>
        <v>0</v>
      </c>
      <c r="P60" s="45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9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5" ca="1" si="37">I76</f>
        <v>1</v>
      </c>
      <c r="J64" s="143">
        <f t="shared" si="37"/>
        <v>1</v>
      </c>
      <c r="K64" s="144">
        <f t="shared" ref="K64:K65" ca="1" si="38">IF(I64&gt;0,J64*100/I64,0)</f>
        <v>100</v>
      </c>
      <c r="L64" s="145"/>
      <c r="M64" s="145"/>
      <c r="N64" s="145"/>
      <c r="O64" s="145"/>
      <c r="P64" s="145"/>
    </row>
    <row r="65" spans="1:26" ht="19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ca="1" si="37"/>
        <v>30</v>
      </c>
      <c r="J65" s="143">
        <f t="shared" si="37"/>
        <v>30</v>
      </c>
      <c r="K65" s="144">
        <f t="shared" ca="1" si="38"/>
        <v>100</v>
      </c>
      <c r="L65" s="145"/>
      <c r="M65" s="145"/>
      <c r="N65" s="145"/>
      <c r="O65" s="145"/>
      <c r="P65" s="145"/>
    </row>
    <row r="66" spans="1:26" ht="19">
      <c r="A66" s="146"/>
      <c r="B66" s="147"/>
      <c r="C66" s="148" t="s">
        <v>16</v>
      </c>
      <c r="D66" s="795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39">L67+L68</f>
        <v>916200</v>
      </c>
      <c r="M66" s="154">
        <f t="shared" ca="1" si="39"/>
        <v>933200</v>
      </c>
      <c r="N66" s="154">
        <f t="shared" ca="1" si="39"/>
        <v>794372.92</v>
      </c>
      <c r="O66" s="154">
        <f t="shared" ref="O66:O74" ca="1" si="40">IF(L66&gt;0,N66*100/L66,0)</f>
        <v>86.703003710980141</v>
      </c>
      <c r="P66" s="154">
        <f t="shared" ref="P66:P74" ca="1" si="41">IF(M66&gt;0,N66*100/M66,0)</f>
        <v>85.123544792113165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9" hidden="1">
      <c r="A67" s="155"/>
      <c r="B67" s="40"/>
      <c r="C67" s="40"/>
      <c r="D67" s="40"/>
      <c r="E67" s="41" t="s">
        <v>18</v>
      </c>
      <c r="F67" s="40"/>
      <c r="G67" s="156"/>
      <c r="H67" s="157" t="s">
        <v>12</v>
      </c>
      <c r="I67" s="44"/>
      <c r="J67" s="44"/>
      <c r="K67" s="45"/>
      <c r="L67" s="45">
        <f t="shared" ref="L67:N68" si="42">L70+L73</f>
        <v>0</v>
      </c>
      <c r="M67" s="45">
        <f t="shared" si="42"/>
        <v>0</v>
      </c>
      <c r="N67" s="45">
        <f t="shared" si="42"/>
        <v>0</v>
      </c>
      <c r="O67" s="45">
        <f t="shared" si="40"/>
        <v>0</v>
      </c>
      <c r="P67" s="45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9" hidden="1">
      <c r="A68" s="155"/>
      <c r="B68" s="40"/>
      <c r="C68" s="40"/>
      <c r="D68" s="40"/>
      <c r="E68" s="41" t="s">
        <v>19</v>
      </c>
      <c r="F68" s="40"/>
      <c r="G68" s="156"/>
      <c r="H68" s="157" t="s">
        <v>12</v>
      </c>
      <c r="I68" s="44"/>
      <c r="J68" s="44"/>
      <c r="K68" s="45"/>
      <c r="L68" s="45">
        <f t="shared" ca="1" si="42"/>
        <v>916200</v>
      </c>
      <c r="M68" s="45">
        <f t="shared" ca="1" si="42"/>
        <v>933200</v>
      </c>
      <c r="N68" s="45">
        <f t="shared" ca="1" si="42"/>
        <v>794372.92</v>
      </c>
      <c r="O68" s="45">
        <f t="shared" ca="1" si="40"/>
        <v>86.703003710980141</v>
      </c>
      <c r="P68" s="45">
        <f t="shared" ca="1" si="41"/>
        <v>85.123544792113165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9">
      <c r="A69" s="158"/>
      <c r="B69" s="33"/>
      <c r="C69" s="159"/>
      <c r="D69" s="34" t="s">
        <v>20</v>
      </c>
      <c r="E69" s="33"/>
      <c r="F69" s="33"/>
      <c r="G69" s="35"/>
      <c r="H69" s="160" t="s">
        <v>12</v>
      </c>
      <c r="I69" s="161"/>
      <c r="J69" s="161"/>
      <c r="K69" s="162"/>
      <c r="L69" s="38">
        <f t="shared" ref="L69:N69" ca="1" si="43">L70+L71</f>
        <v>916200</v>
      </c>
      <c r="M69" s="38">
        <f t="shared" ca="1" si="43"/>
        <v>933200</v>
      </c>
      <c r="N69" s="38">
        <f t="shared" ca="1" si="43"/>
        <v>794372.92</v>
      </c>
      <c r="O69" s="38">
        <f t="shared" ca="1" si="40"/>
        <v>86.703003710980141</v>
      </c>
      <c r="P69" s="38">
        <f t="shared" ca="1" si="41"/>
        <v>85.123544792113165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" hidden="1">
      <c r="A70" s="155"/>
      <c r="B70" s="40"/>
      <c r="C70" s="163"/>
      <c r="D70" s="40"/>
      <c r="E70" s="41" t="s">
        <v>36</v>
      </c>
      <c r="F70" s="40"/>
      <c r="G70" s="156"/>
      <c r="H70" s="164" t="s">
        <v>12</v>
      </c>
      <c r="I70" s="165"/>
      <c r="J70" s="165"/>
      <c r="K70" s="166"/>
      <c r="L70" s="45">
        <v>0</v>
      </c>
      <c r="M70" s="45">
        <v>0</v>
      </c>
      <c r="N70" s="45">
        <v>0</v>
      </c>
      <c r="O70" s="45">
        <f t="shared" si="40"/>
        <v>0</v>
      </c>
      <c r="P70" s="45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" hidden="1">
      <c r="A71" s="155"/>
      <c r="B71" s="40"/>
      <c r="C71" s="163"/>
      <c r="D71" s="40"/>
      <c r="E71" s="41" t="s">
        <v>37</v>
      </c>
      <c r="F71" s="40"/>
      <c r="G71" s="156"/>
      <c r="H71" s="164" t="s">
        <v>12</v>
      </c>
      <c r="I71" s="165"/>
      <c r="J71" s="165"/>
      <c r="K71" s="166"/>
      <c r="L71" s="45">
        <f ca="1">IFERROR(__xludf.DUMMYFUNCTION("IMPORTRANGE(""https://docs.google.com/spreadsheets/d/1MeEWN-I1oV_STSDYn1IFDPWt_1FKiwhDph83XaGc0o0/edit?usp=sharing"",""งบพรบ!AG82"")"),916200)</f>
        <v>916200</v>
      </c>
      <c r="M71" s="45">
        <f ca="1">IFERROR(__xludf.DUMMYFUNCTION("IMPORTRANGE(""https://docs.google.com/spreadsheets/d/1MeEWN-I1oV_STSDYn1IFDPWt_1FKiwhDph83XaGc0o0/edit?usp=sharing"",""งบพรบ!AL82"")"),933200)</f>
        <v>933200</v>
      </c>
      <c r="N71" s="45">
        <f ca="1">IFERROR(__xludf.DUMMYFUNCTION("IMPORTRANGE(""https://docs.google.com/spreadsheets/d/1MeEWN-I1oV_STSDYn1IFDPWt_1FKiwhDph83XaGc0o0/edit?usp=sharing"",""งบพรบ!AN82"")"),794372.92)</f>
        <v>794372.92</v>
      </c>
      <c r="O71" s="45">
        <f t="shared" ca="1" si="40"/>
        <v>86.703003710980141</v>
      </c>
      <c r="P71" s="45">
        <f t="shared" ca="1" si="41"/>
        <v>85.123544792113165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9">
      <c r="A72" s="158"/>
      <c r="B72" s="33"/>
      <c r="C72" s="159"/>
      <c r="D72" s="34" t="s">
        <v>21</v>
      </c>
      <c r="E72" s="33"/>
      <c r="F72" s="33"/>
      <c r="G72" s="35"/>
      <c r="H72" s="167" t="s">
        <v>12</v>
      </c>
      <c r="I72" s="161"/>
      <c r="J72" s="161"/>
      <c r="K72" s="162"/>
      <c r="L72" s="38">
        <f t="shared" ref="L72:N72" ca="1" si="44">L73+L74</f>
        <v>0</v>
      </c>
      <c r="M72" s="38">
        <f t="shared" ca="1" si="44"/>
        <v>0</v>
      </c>
      <c r="N72" s="38">
        <f t="shared" ca="1" si="44"/>
        <v>0</v>
      </c>
      <c r="O72" s="38">
        <f t="shared" ca="1" si="40"/>
        <v>0</v>
      </c>
      <c r="P72" s="3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" hidden="1">
      <c r="A73" s="155"/>
      <c r="B73" s="40"/>
      <c r="C73" s="163"/>
      <c r="D73" s="40"/>
      <c r="E73" s="41" t="s">
        <v>18</v>
      </c>
      <c r="F73" s="40"/>
      <c r="G73" s="156"/>
      <c r="H73" s="164" t="s">
        <v>12</v>
      </c>
      <c r="I73" s="165"/>
      <c r="J73" s="165"/>
      <c r="K73" s="166"/>
      <c r="L73" s="45">
        <v>0</v>
      </c>
      <c r="M73" s="45"/>
      <c r="N73" s="45"/>
      <c r="O73" s="45">
        <f t="shared" si="40"/>
        <v>0</v>
      </c>
      <c r="P73" s="45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" hidden="1">
      <c r="A74" s="155"/>
      <c r="B74" s="40"/>
      <c r="C74" s="163"/>
      <c r="D74" s="40"/>
      <c r="E74" s="41" t="s">
        <v>19</v>
      </c>
      <c r="F74" s="40"/>
      <c r="G74" s="156"/>
      <c r="H74" s="168" t="s">
        <v>12</v>
      </c>
      <c r="I74" s="165"/>
      <c r="J74" s="165"/>
      <c r="K74" s="166"/>
      <c r="L74" s="45">
        <f ca="1">IFERROR(__xludf.DUMMYFUNCTION("IMPORTRANGE(""https://docs.google.com/spreadsheets/d/1MeEWN-I1oV_STSDYn1IFDPWt_1FKiwhDph83XaGc0o0/edit?usp=sharing"",""งบพรบ!AJ82"")"),0)</f>
        <v>0</v>
      </c>
      <c r="M74" s="45">
        <f ca="1">IFERROR(__xludf.DUMMYFUNCTION("IMPORTRANGE(""https://docs.google.com/spreadsheets/d/1MeEWN-I1oV_STSDYn1IFDPWt_1FKiwhDph83XaGc0o0/edit?usp=sharing"",""งบพรบ!AM82"")"),0)</f>
        <v>0</v>
      </c>
      <c r="N74" s="45">
        <f ca="1">IFERROR(__xludf.DUMMYFUNCTION("IMPORTRANGE(""https://docs.google.com/spreadsheets/d/1MeEWN-I1oV_STSDYn1IFDPWt_1FKiwhDph83XaGc0o0/edit?usp=sharing"",""งบพรบ!AO82"")"),0)</f>
        <v>0</v>
      </c>
      <c r="O74" s="45">
        <f t="shared" ca="1" si="40"/>
        <v>0</v>
      </c>
      <c r="P74" s="45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">
      <c r="A75" s="169"/>
      <c r="B75" s="170"/>
      <c r="C75" s="163" t="s">
        <v>16</v>
      </c>
      <c r="D75" s="796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19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7">
        <f t="shared" ref="I76:J77" ca="1" si="45">I78+I80+I82</f>
        <v>1</v>
      </c>
      <c r="J76" s="37">
        <f t="shared" si="45"/>
        <v>1</v>
      </c>
      <c r="K76" s="162">
        <f t="shared" ref="K76:K84" ca="1" si="46">IF(I76&gt;0,J76*100/I76,0)</f>
        <v>100</v>
      </c>
      <c r="L76" s="162"/>
      <c r="M76" s="162"/>
      <c r="N76" s="162"/>
      <c r="O76" s="162"/>
      <c r="P76" s="162"/>
    </row>
    <row r="77" spans="1:26" ht="19">
      <c r="A77" s="169"/>
      <c r="B77" s="170"/>
      <c r="C77" s="170"/>
      <c r="D77" s="170"/>
      <c r="E77" s="177"/>
      <c r="F77" s="177"/>
      <c r="G77" s="178"/>
      <c r="H77" s="179" t="s">
        <v>35</v>
      </c>
      <c r="I77" s="37">
        <f t="shared" ca="1" si="45"/>
        <v>30</v>
      </c>
      <c r="J77" s="37">
        <f t="shared" si="45"/>
        <v>30</v>
      </c>
      <c r="K77" s="162">
        <f t="shared" ca="1" si="46"/>
        <v>100</v>
      </c>
      <c r="L77" s="162"/>
      <c r="M77" s="162"/>
      <c r="N77" s="162"/>
      <c r="O77" s="162"/>
      <c r="P77" s="162"/>
    </row>
    <row r="78" spans="1:26" ht="19">
      <c r="A78" s="169"/>
      <c r="B78" s="170"/>
      <c r="C78" s="170"/>
      <c r="D78" s="170"/>
      <c r="E78" s="176" t="s">
        <v>40</v>
      </c>
      <c r="F78" s="176"/>
      <c r="G78" s="178"/>
      <c r="H78" s="180" t="s">
        <v>34</v>
      </c>
      <c r="I78" s="161">
        <f ca="1">IFERROR(__xludf.DUMMYFUNCTION("IMPORTRANGE(""https://docs.google.com/spreadsheets/d/1QqKyyYR6Q21VydFLVH3TRQUabQu_ym0Zz7PgGX0-kHA/edit?usp=sharing"",""แผน!H82"")"),0)</f>
        <v>0</v>
      </c>
      <c r="J78" s="181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9">
      <c r="A79" s="169"/>
      <c r="B79" s="170"/>
      <c r="C79" s="170"/>
      <c r="D79" s="170"/>
      <c r="E79" s="177"/>
      <c r="F79" s="177"/>
      <c r="G79" s="178"/>
      <c r="H79" s="180" t="s">
        <v>35</v>
      </c>
      <c r="I79" s="161">
        <f ca="1">IFERROR(__xludf.DUMMYFUNCTION("IMPORTRANGE(""https://docs.google.com/spreadsheets/d/1QqKyyYR6Q21VydFLVH3TRQUabQu_ym0Zz7PgGX0-kHA/edit?usp=sharing"",""แผน!I82"")"),0)</f>
        <v>0</v>
      </c>
      <c r="J79" s="181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9">
      <c r="A80" s="169"/>
      <c r="B80" s="170"/>
      <c r="C80" s="170"/>
      <c r="D80" s="170"/>
      <c r="E80" s="176" t="s">
        <v>41</v>
      </c>
      <c r="F80" s="176"/>
      <c r="G80" s="178"/>
      <c r="H80" s="180" t="s">
        <v>34</v>
      </c>
      <c r="I80" s="161">
        <f ca="1">IFERROR(__xludf.DUMMYFUNCTION("IMPORTRANGE(""https://docs.google.com/spreadsheets/d/1QqKyyYR6Q21VydFLVH3TRQUabQu_ym0Zz7PgGX0-kHA/edit?usp=sharing"",""แผน!F82"")"),1)</f>
        <v>1</v>
      </c>
      <c r="J80" s="181">
        <v>1</v>
      </c>
      <c r="K80" s="162">
        <f t="shared" ca="1" si="46"/>
        <v>100</v>
      </c>
      <c r="L80" s="162"/>
      <c r="M80" s="162"/>
      <c r="N80" s="162"/>
      <c r="O80" s="162"/>
      <c r="P80" s="162"/>
    </row>
    <row r="81" spans="1:26" ht="19">
      <c r="A81" s="169"/>
      <c r="B81" s="170"/>
      <c r="C81" s="170"/>
      <c r="D81" s="170"/>
      <c r="E81" s="177"/>
      <c r="F81" s="177"/>
      <c r="G81" s="178"/>
      <c r="H81" s="180" t="s">
        <v>35</v>
      </c>
      <c r="I81" s="161">
        <f ca="1">IFERROR(__xludf.DUMMYFUNCTION("IMPORTRANGE(""https://docs.google.com/spreadsheets/d/1QqKyyYR6Q21VydFLVH3TRQUabQu_ym0Zz7PgGX0-kHA/edit?usp=sharing"",""แผน!G82"")"),30)</f>
        <v>30</v>
      </c>
      <c r="J81" s="181">
        <v>30</v>
      </c>
      <c r="K81" s="162">
        <f t="shared" ca="1" si="46"/>
        <v>100</v>
      </c>
      <c r="L81" s="162"/>
      <c r="M81" s="162"/>
      <c r="N81" s="162"/>
      <c r="O81" s="162"/>
      <c r="P81" s="162"/>
    </row>
    <row r="82" spans="1:26" ht="19">
      <c r="A82" s="169"/>
      <c r="B82" s="170"/>
      <c r="C82" s="170"/>
      <c r="D82" s="170"/>
      <c r="E82" s="176" t="s">
        <v>42</v>
      </c>
      <c r="F82" s="176"/>
      <c r="G82" s="178"/>
      <c r="H82" s="180" t="s">
        <v>34</v>
      </c>
      <c r="I82" s="161">
        <f ca="1">IFERROR(__xludf.DUMMYFUNCTION("IMPORTRANGE(""https://docs.google.com/spreadsheets/d/1QqKyyYR6Q21VydFLVH3TRQUabQu_ym0Zz7PgGX0-kHA/edit?usp=sharing"",""แผน!D82"")"),0)</f>
        <v>0</v>
      </c>
      <c r="J82" s="181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9">
      <c r="A83" s="169"/>
      <c r="B83" s="170"/>
      <c r="C83" s="170"/>
      <c r="D83" s="170"/>
      <c r="E83" s="177"/>
      <c r="F83" s="177"/>
      <c r="G83" s="178"/>
      <c r="H83" s="180" t="s">
        <v>35</v>
      </c>
      <c r="I83" s="161">
        <f ca="1">IFERROR(__xludf.DUMMYFUNCTION("IMPORTRANGE(""https://docs.google.com/spreadsheets/d/1QqKyyYR6Q21VydFLVH3TRQUabQu_ym0Zz7PgGX0-kHA/edit?usp=sharing"",""แผน!E82"")"),0)</f>
        <v>0</v>
      </c>
      <c r="J83" s="181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9">
      <c r="A84" s="169"/>
      <c r="B84" s="170"/>
      <c r="C84" s="170"/>
      <c r="D84" s="175" t="s">
        <v>43</v>
      </c>
      <c r="E84" s="176"/>
      <c r="F84" s="177"/>
      <c r="G84" s="178"/>
      <c r="H84" s="182" t="s">
        <v>34</v>
      </c>
      <c r="I84" s="161">
        <f ca="1">IFERROR(__xludf.DUMMYFUNCTION("IMPORTRANGE(""https://docs.google.com/spreadsheets/d/1QqKyyYR6Q21VydFLVH3TRQUabQu_ym0Zz7PgGX0-kHA/edit?usp=sharing"",""แผน!J82"")"),1)</f>
        <v>1</v>
      </c>
      <c r="J84" s="181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7" ca="1" si="47">I98</f>
        <v>30</v>
      </c>
      <c r="J86" s="143">
        <f t="shared" si="47"/>
        <v>30</v>
      </c>
      <c r="K86" s="144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ca="1" si="47"/>
        <v>10</v>
      </c>
      <c r="J87" s="143">
        <f t="shared" si="47"/>
        <v>10</v>
      </c>
      <c r="K87" s="144">
        <f t="shared" ca="1" si="48"/>
        <v>100</v>
      </c>
      <c r="L87" s="145"/>
      <c r="M87" s="145"/>
      <c r="N87" s="145"/>
      <c r="O87" s="145"/>
      <c r="P87" s="145"/>
    </row>
    <row r="88" spans="1:26" ht="19">
      <c r="A88" s="146"/>
      <c r="B88" s="147"/>
      <c r="C88" s="148" t="s">
        <v>16</v>
      </c>
      <c r="D88" s="795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49">L89+L90</f>
        <v>86340</v>
      </c>
      <c r="M88" s="154">
        <f t="shared" ca="1" si="49"/>
        <v>86340</v>
      </c>
      <c r="N88" s="154">
        <f t="shared" ca="1" si="49"/>
        <v>86340</v>
      </c>
      <c r="O88" s="154">
        <f t="shared" ref="O88:O96" ca="1" si="50">IF(L88&gt;0,N88*100/L88,0)</f>
        <v>100</v>
      </c>
      <c r="P88" s="154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9" hidden="1">
      <c r="A89" s="155"/>
      <c r="B89" s="40"/>
      <c r="C89" s="40"/>
      <c r="D89" s="40"/>
      <c r="E89" s="41" t="s">
        <v>18</v>
      </c>
      <c r="F89" s="40"/>
      <c r="G89" s="156"/>
      <c r="H89" s="157" t="s">
        <v>12</v>
      </c>
      <c r="I89" s="44"/>
      <c r="J89" s="44"/>
      <c r="K89" s="45"/>
      <c r="L89" s="45">
        <f t="shared" ref="L89:N90" si="52">L92+L95</f>
        <v>0</v>
      </c>
      <c r="M89" s="45">
        <f t="shared" si="52"/>
        <v>0</v>
      </c>
      <c r="N89" s="45">
        <f t="shared" si="52"/>
        <v>0</v>
      </c>
      <c r="O89" s="45">
        <f t="shared" si="50"/>
        <v>0</v>
      </c>
      <c r="P89" s="45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9" hidden="1">
      <c r="A90" s="155"/>
      <c r="B90" s="40"/>
      <c r="C90" s="40"/>
      <c r="D90" s="40"/>
      <c r="E90" s="41" t="s">
        <v>19</v>
      </c>
      <c r="F90" s="40"/>
      <c r="G90" s="156"/>
      <c r="H90" s="157" t="s">
        <v>12</v>
      </c>
      <c r="I90" s="44"/>
      <c r="J90" s="44"/>
      <c r="K90" s="45"/>
      <c r="L90" s="45">
        <f t="shared" ca="1" si="52"/>
        <v>86340</v>
      </c>
      <c r="M90" s="45">
        <f t="shared" ca="1" si="52"/>
        <v>86340</v>
      </c>
      <c r="N90" s="45">
        <f t="shared" ca="1" si="52"/>
        <v>86340</v>
      </c>
      <c r="O90" s="45">
        <f t="shared" ca="1" si="50"/>
        <v>100</v>
      </c>
      <c r="P90" s="45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9">
      <c r="A91" s="158"/>
      <c r="B91" s="33"/>
      <c r="C91" s="159"/>
      <c r="D91" s="34" t="s">
        <v>20</v>
      </c>
      <c r="E91" s="33"/>
      <c r="F91" s="33"/>
      <c r="G91" s="35"/>
      <c r="H91" s="160" t="s">
        <v>12</v>
      </c>
      <c r="I91" s="161"/>
      <c r="J91" s="161"/>
      <c r="K91" s="162"/>
      <c r="L91" s="38">
        <f t="shared" ref="L91:N91" ca="1" si="53">L92+L93</f>
        <v>86340</v>
      </c>
      <c r="M91" s="38">
        <f t="shared" ca="1" si="53"/>
        <v>86340</v>
      </c>
      <c r="N91" s="38">
        <f t="shared" ca="1" si="53"/>
        <v>86340</v>
      </c>
      <c r="O91" s="38">
        <f t="shared" ca="1" si="50"/>
        <v>100</v>
      </c>
      <c r="P91" s="3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" hidden="1">
      <c r="A92" s="155"/>
      <c r="B92" s="40"/>
      <c r="C92" s="163"/>
      <c r="D92" s="40"/>
      <c r="E92" s="41" t="s">
        <v>36</v>
      </c>
      <c r="F92" s="40"/>
      <c r="G92" s="156"/>
      <c r="H92" s="164" t="s">
        <v>12</v>
      </c>
      <c r="I92" s="165"/>
      <c r="J92" s="165"/>
      <c r="K92" s="166"/>
      <c r="L92" s="45">
        <v>0</v>
      </c>
      <c r="M92" s="45">
        <v>0</v>
      </c>
      <c r="N92" s="45">
        <v>0</v>
      </c>
      <c r="O92" s="45">
        <f t="shared" si="50"/>
        <v>0</v>
      </c>
      <c r="P92" s="45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" hidden="1">
      <c r="A93" s="155"/>
      <c r="B93" s="40"/>
      <c r="C93" s="163"/>
      <c r="D93" s="40"/>
      <c r="E93" s="41" t="s">
        <v>37</v>
      </c>
      <c r="F93" s="40"/>
      <c r="G93" s="156"/>
      <c r="H93" s="164" t="s">
        <v>12</v>
      </c>
      <c r="I93" s="165"/>
      <c r="J93" s="165"/>
      <c r="K93" s="166"/>
      <c r="L93" s="45">
        <f ca="1">IFERROR(__xludf.DUMMYFUNCTION("IMPORTRANGE(""https://docs.google.com/spreadsheets/d/1MeEWN-I1oV_STSDYn1IFDPWt_1FKiwhDph83XaGc0o0/edit?usp=sharing"",""งบพรบ!AQ82"")"),86340)</f>
        <v>86340</v>
      </c>
      <c r="M93" s="45">
        <f ca="1">IFERROR(__xludf.DUMMYFUNCTION("IMPORTRANGE(""https://docs.google.com/spreadsheets/d/1MeEWN-I1oV_STSDYn1IFDPWt_1FKiwhDph83XaGc0o0/edit?usp=sharing"",""งบพรบ!AV82"")"),86340)</f>
        <v>86340</v>
      </c>
      <c r="N93" s="45">
        <f ca="1">IFERROR(__xludf.DUMMYFUNCTION("IMPORTRANGE(""https://docs.google.com/spreadsheets/d/1MeEWN-I1oV_STSDYn1IFDPWt_1FKiwhDph83XaGc0o0/edit?usp=sharing"",""งบพรบ!AX82"")"),86340)</f>
        <v>86340</v>
      </c>
      <c r="O93" s="45">
        <f t="shared" ca="1" si="50"/>
        <v>100</v>
      </c>
      <c r="P93" s="45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9">
      <c r="A94" s="158"/>
      <c r="B94" s="33"/>
      <c r="C94" s="159"/>
      <c r="D94" s="34" t="s">
        <v>21</v>
      </c>
      <c r="E94" s="33"/>
      <c r="F94" s="33"/>
      <c r="G94" s="35"/>
      <c r="H94" s="167" t="s">
        <v>12</v>
      </c>
      <c r="I94" s="161"/>
      <c r="J94" s="161"/>
      <c r="K94" s="162"/>
      <c r="L94" s="38">
        <f t="shared" ref="L94:N94" ca="1" si="54">L95+L96</f>
        <v>0</v>
      </c>
      <c r="M94" s="38">
        <f t="shared" ca="1" si="54"/>
        <v>0</v>
      </c>
      <c r="N94" s="38">
        <f t="shared" ca="1" si="54"/>
        <v>0</v>
      </c>
      <c r="O94" s="38">
        <f t="shared" ca="1" si="50"/>
        <v>0</v>
      </c>
      <c r="P94" s="3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" hidden="1">
      <c r="A95" s="155"/>
      <c r="B95" s="40"/>
      <c r="C95" s="163"/>
      <c r="D95" s="40"/>
      <c r="E95" s="41" t="s">
        <v>18</v>
      </c>
      <c r="F95" s="40"/>
      <c r="G95" s="156"/>
      <c r="H95" s="164" t="s">
        <v>12</v>
      </c>
      <c r="I95" s="165"/>
      <c r="J95" s="165"/>
      <c r="K95" s="166"/>
      <c r="L95" s="45">
        <v>0</v>
      </c>
      <c r="M95" s="45">
        <v>0</v>
      </c>
      <c r="N95" s="45">
        <v>0</v>
      </c>
      <c r="O95" s="45">
        <f t="shared" si="50"/>
        <v>0</v>
      </c>
      <c r="P95" s="45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" hidden="1">
      <c r="A96" s="155"/>
      <c r="B96" s="40"/>
      <c r="C96" s="163"/>
      <c r="D96" s="40"/>
      <c r="E96" s="41" t="s">
        <v>19</v>
      </c>
      <c r="F96" s="40"/>
      <c r="G96" s="156"/>
      <c r="H96" s="168" t="s">
        <v>12</v>
      </c>
      <c r="I96" s="165"/>
      <c r="J96" s="165"/>
      <c r="K96" s="166"/>
      <c r="L96" s="45">
        <f ca="1">IFERROR(__xludf.DUMMYFUNCTION("IMPORTRANGE(""https://docs.google.com/spreadsheets/d/1MeEWN-I1oV_STSDYn1IFDPWt_1FKiwhDph83XaGc0o0/edit?usp=sharing"",""งบพรบ!AT82"")"),0)</f>
        <v>0</v>
      </c>
      <c r="M96" s="45">
        <f ca="1">IFERROR(__xludf.DUMMYFUNCTION("IMPORTRANGE(""https://docs.google.com/spreadsheets/d/1MeEWN-I1oV_STSDYn1IFDPWt_1FKiwhDph83XaGc0o0/edit?usp=sharing"",""งบพรบ!AW82"")"),0)</f>
        <v>0</v>
      </c>
      <c r="N96" s="45">
        <f ca="1">IFERROR(__xludf.DUMMYFUNCTION("IMPORTRANGE(""https://docs.google.com/spreadsheets/d/1MeEWN-I1oV_STSDYn1IFDPWt_1FKiwhDph83XaGc0o0/edit?usp=sharing"",""งบพรบ!AY82"")"),0)</f>
        <v>0</v>
      </c>
      <c r="O96" s="45">
        <f t="shared" ca="1" si="50"/>
        <v>0</v>
      </c>
      <c r="P96" s="45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">
      <c r="A97" s="169"/>
      <c r="B97" s="170"/>
      <c r="C97" s="163" t="s">
        <v>16</v>
      </c>
      <c r="D97" s="796" t="s">
        <v>38</v>
      </c>
      <c r="E97" s="172"/>
      <c r="F97" s="172"/>
      <c r="G97" s="173"/>
      <c r="H97" s="174"/>
      <c r="I97" s="161"/>
      <c r="J97" s="37"/>
      <c r="K97" s="38"/>
      <c r="L97" s="38"/>
      <c r="M97" s="38"/>
      <c r="N97" s="38"/>
      <c r="O97" s="162"/>
      <c r="P97" s="162"/>
    </row>
    <row r="98" spans="1:16" ht="19">
      <c r="A98" s="169"/>
      <c r="B98" s="170"/>
      <c r="C98" s="170"/>
      <c r="D98" s="176" t="s">
        <v>47</v>
      </c>
      <c r="E98" s="176"/>
      <c r="F98" s="177"/>
      <c r="G98" s="178"/>
      <c r="H98" s="36" t="s">
        <v>46</v>
      </c>
      <c r="I98" s="37">
        <f ca="1">IFERROR(__xludf.DUMMYFUNCTION("IMPORTRANGE(""https://docs.google.com/spreadsheets/d/1QqKyyYR6Q21VydFLVH3TRQUabQu_ym0Zz7PgGX0-kHA/edit?usp=sharing"",""แผน!K82"")"),30)</f>
        <v>30</v>
      </c>
      <c r="J98" s="37">
        <f>J102</f>
        <v>30</v>
      </c>
      <c r="K98" s="38">
        <f t="shared" ref="K98:K100" ca="1" si="55">IF(I98&gt;0,J98*100/I98,0)</f>
        <v>100</v>
      </c>
      <c r="L98" s="38"/>
      <c r="M98" s="38"/>
      <c r="N98" s="38"/>
      <c r="O98" s="162"/>
      <c r="P98" s="162"/>
    </row>
    <row r="99" spans="1:16" ht="19">
      <c r="A99" s="169"/>
      <c r="B99" s="170"/>
      <c r="C99" s="170"/>
      <c r="D99" s="176" t="s">
        <v>48</v>
      </c>
      <c r="E99" s="176"/>
      <c r="F99" s="177"/>
      <c r="G99" s="178"/>
      <c r="H99" s="36" t="s">
        <v>35</v>
      </c>
      <c r="I99" s="37">
        <f ca="1">IFERROR(__xludf.DUMMYFUNCTION("IMPORTRANGE(""https://docs.google.com/spreadsheets/d/1QqKyyYR6Q21VydFLVH3TRQUabQu_ym0Zz7PgGX0-kHA/edit?usp=sharing"",""แผน!L82"")"),10)</f>
        <v>10</v>
      </c>
      <c r="J99" s="37">
        <f>J104</f>
        <v>10</v>
      </c>
      <c r="K99" s="38">
        <f t="shared" ca="1" si="55"/>
        <v>100</v>
      </c>
      <c r="L99" s="38"/>
      <c r="M99" s="38"/>
      <c r="N99" s="38"/>
      <c r="O99" s="162"/>
      <c r="P99" s="162"/>
    </row>
    <row r="100" spans="1:16" ht="19">
      <c r="A100" s="169"/>
      <c r="B100" s="170"/>
      <c r="C100" s="170"/>
      <c r="D100" s="170"/>
      <c r="E100" s="177"/>
      <c r="F100" s="177"/>
      <c r="G100" s="178"/>
      <c r="H100" s="36" t="s">
        <v>49</v>
      </c>
      <c r="I100" s="37">
        <f ca="1">IFERROR(__xludf.DUMMYFUNCTION("IMPORTRANGE(""https://docs.google.com/spreadsheets/d/1QqKyyYR6Q21VydFLVH3TRQUabQu_ym0Zz7PgGX0-kHA/edit?usp=sharing"",""แผน!M82"")"),2)</f>
        <v>2</v>
      </c>
      <c r="J100" s="37">
        <f>J107+J110</f>
        <v>2</v>
      </c>
      <c r="K100" s="38">
        <f t="shared" ca="1" si="55"/>
        <v>100</v>
      </c>
      <c r="L100" s="38"/>
      <c r="M100" s="38"/>
      <c r="N100" s="38"/>
      <c r="O100" s="162"/>
      <c r="P100" s="162"/>
    </row>
    <row r="101" spans="1:16" ht="19">
      <c r="A101" s="169"/>
      <c r="B101" s="170"/>
      <c r="C101" s="170"/>
      <c r="D101" s="177"/>
      <c r="E101" s="183" t="s">
        <v>50</v>
      </c>
      <c r="F101" s="177"/>
      <c r="G101" s="178"/>
      <c r="H101" s="36"/>
      <c r="I101" s="37"/>
      <c r="J101" s="37"/>
      <c r="K101" s="38"/>
      <c r="L101" s="38"/>
      <c r="M101" s="38"/>
      <c r="N101" s="38"/>
      <c r="O101" s="162"/>
      <c r="P101" s="162"/>
    </row>
    <row r="102" spans="1:16" ht="19">
      <c r="A102" s="169"/>
      <c r="B102" s="170"/>
      <c r="C102" s="170"/>
      <c r="D102" s="177"/>
      <c r="E102" s="184" t="s">
        <v>47</v>
      </c>
      <c r="F102" s="177"/>
      <c r="G102" s="178"/>
      <c r="H102" s="36" t="s">
        <v>46</v>
      </c>
      <c r="I102" s="37">
        <f ca="1">IFERROR(__xludf.DUMMYFUNCTION("IMPORTRANGE(""https://docs.google.com/spreadsheets/d/1QqKyyYR6Q21VydFLVH3TRQUabQu_ym0Zz7PgGX0-kHA/edit?usp=sharing"",""แผน!N82"")"),30)</f>
        <v>30</v>
      </c>
      <c r="J102" s="181">
        <v>30</v>
      </c>
      <c r="K102" s="38">
        <f t="shared" ref="K102:K104" ca="1" si="56">IF(I102&gt;0,J102*100/I102,0)</f>
        <v>100</v>
      </c>
      <c r="L102" s="38"/>
      <c r="M102" s="38"/>
      <c r="N102" s="38"/>
      <c r="O102" s="162"/>
      <c r="P102" s="162"/>
    </row>
    <row r="103" spans="1:16" ht="19">
      <c r="A103" s="169"/>
      <c r="B103" s="170"/>
      <c r="C103" s="170"/>
      <c r="D103" s="177"/>
      <c r="E103" s="176" t="s">
        <v>51</v>
      </c>
      <c r="F103" s="177"/>
      <c r="G103" s="178"/>
      <c r="H103" s="36" t="s">
        <v>35</v>
      </c>
      <c r="I103" s="37">
        <f ca="1">IFERROR(__xludf.DUMMYFUNCTION("IMPORTRANGE(""https://docs.google.com/spreadsheets/d/1QqKyyYR6Q21VydFLVH3TRQUabQu_ym0Zz7PgGX0-kHA/edit?usp=sharing"",""แผน!O82"")"),10)</f>
        <v>10</v>
      </c>
      <c r="J103" s="181">
        <v>10</v>
      </c>
      <c r="K103" s="38">
        <f t="shared" ca="1" si="56"/>
        <v>100</v>
      </c>
      <c r="L103" s="38"/>
      <c r="M103" s="38"/>
      <c r="N103" s="38"/>
      <c r="O103" s="162"/>
      <c r="P103" s="162"/>
    </row>
    <row r="104" spans="1:16" ht="19">
      <c r="A104" s="169"/>
      <c r="B104" s="170"/>
      <c r="C104" s="170"/>
      <c r="D104" s="177"/>
      <c r="E104" s="185" t="s">
        <v>52</v>
      </c>
      <c r="F104" s="177"/>
      <c r="G104" s="178"/>
      <c r="H104" s="36" t="s">
        <v>35</v>
      </c>
      <c r="I104" s="37">
        <f ca="1">IFERROR(__xludf.DUMMYFUNCTION("IMPORTRANGE(""https://docs.google.com/spreadsheets/d/1QqKyyYR6Q21VydFLVH3TRQUabQu_ym0Zz7PgGX0-kHA/edit?usp=sharing"",""แผน!O82"")"),10)</f>
        <v>10</v>
      </c>
      <c r="J104" s="181">
        <v>10</v>
      </c>
      <c r="K104" s="38">
        <f t="shared" ca="1" si="56"/>
        <v>100</v>
      </c>
      <c r="L104" s="38"/>
      <c r="M104" s="38"/>
      <c r="N104" s="38"/>
      <c r="O104" s="162"/>
      <c r="P104" s="162"/>
    </row>
    <row r="105" spans="1:16" ht="19">
      <c r="A105" s="169"/>
      <c r="B105" s="170"/>
      <c r="C105" s="170"/>
      <c r="D105" s="177"/>
      <c r="E105" s="183" t="s">
        <v>53</v>
      </c>
      <c r="F105" s="177"/>
      <c r="G105" s="178"/>
      <c r="H105" s="186"/>
      <c r="I105" s="37"/>
      <c r="J105" s="37"/>
      <c r="K105" s="38"/>
      <c r="L105" s="38"/>
      <c r="M105" s="38"/>
      <c r="N105" s="38"/>
      <c r="O105" s="162"/>
      <c r="P105" s="162"/>
    </row>
    <row r="106" spans="1:16" ht="19">
      <c r="A106" s="169"/>
      <c r="B106" s="170"/>
      <c r="C106" s="170"/>
      <c r="D106" s="177"/>
      <c r="E106" s="176" t="s">
        <v>54</v>
      </c>
      <c r="F106" s="177"/>
      <c r="G106" s="178"/>
      <c r="H106" s="36" t="s">
        <v>49</v>
      </c>
      <c r="I106" s="37">
        <f ca="1">IFERROR(__xludf.DUMMYFUNCTION("IMPORTRANGE(""https://docs.google.com/spreadsheets/d/1QqKyyYR6Q21VydFLVH3TRQUabQu_ym0Zz7PgGX0-kHA/edit?usp=sharing"",""แผน!P82"")"),1)</f>
        <v>1</v>
      </c>
      <c r="J106" s="832">
        <v>1</v>
      </c>
      <c r="K106" s="38">
        <f t="shared" ref="K106:K107" ca="1" si="57">IF(I106&gt;0,J106*100/I106,0)</f>
        <v>100</v>
      </c>
      <c r="L106" s="38"/>
      <c r="M106" s="38"/>
      <c r="N106" s="38"/>
      <c r="O106" s="162"/>
      <c r="P106" s="162"/>
    </row>
    <row r="107" spans="1:16" ht="19">
      <c r="A107" s="169"/>
      <c r="B107" s="170"/>
      <c r="C107" s="170"/>
      <c r="D107" s="177"/>
      <c r="E107" s="185" t="s">
        <v>55</v>
      </c>
      <c r="F107" s="177"/>
      <c r="G107" s="178"/>
      <c r="H107" s="36" t="s">
        <v>49</v>
      </c>
      <c r="I107" s="37">
        <f ca="1">IFERROR(__xludf.DUMMYFUNCTION("IMPORTRANGE(""https://docs.google.com/spreadsheets/d/1QqKyyYR6Q21VydFLVH3TRQUabQu_ym0Zz7PgGX0-kHA/edit?usp=sharing"",""แผน!P82"")"),1)</f>
        <v>1</v>
      </c>
      <c r="J107" s="181">
        <v>1</v>
      </c>
      <c r="K107" s="38">
        <f t="shared" ca="1" si="57"/>
        <v>100</v>
      </c>
      <c r="L107" s="38"/>
      <c r="M107" s="38"/>
      <c r="N107" s="38"/>
      <c r="O107" s="162"/>
      <c r="P107" s="162"/>
    </row>
    <row r="108" spans="1:16" ht="19">
      <c r="A108" s="169"/>
      <c r="B108" s="170"/>
      <c r="C108" s="170"/>
      <c r="D108" s="177"/>
      <c r="E108" s="183" t="s">
        <v>56</v>
      </c>
      <c r="F108" s="177"/>
      <c r="G108" s="178"/>
      <c r="H108" s="186"/>
      <c r="I108" s="37"/>
      <c r="J108" s="37"/>
      <c r="K108" s="38"/>
      <c r="L108" s="38"/>
      <c r="M108" s="38"/>
      <c r="N108" s="38"/>
      <c r="O108" s="162"/>
      <c r="P108" s="162"/>
    </row>
    <row r="109" spans="1:16" ht="19">
      <c r="A109" s="169"/>
      <c r="B109" s="170"/>
      <c r="C109" s="170"/>
      <c r="D109" s="177"/>
      <c r="E109" s="176" t="s">
        <v>57</v>
      </c>
      <c r="F109" s="177"/>
      <c r="G109" s="178"/>
      <c r="H109" s="36" t="s">
        <v>49</v>
      </c>
      <c r="I109" s="37">
        <f ca="1">IFERROR(__xludf.DUMMYFUNCTION("IMPORTRANGE(""https://docs.google.com/spreadsheets/d/1QqKyyYR6Q21VydFLVH3TRQUabQu_ym0Zz7PgGX0-kHA/edit?usp=sharing"",""แผน!Q82"")"),1)</f>
        <v>1</v>
      </c>
      <c r="J109" s="181">
        <v>1</v>
      </c>
      <c r="K109" s="38">
        <f t="shared" ref="K109:K116" ca="1" si="58">IF(I109&gt;0,J109*100/I109,0)</f>
        <v>100</v>
      </c>
      <c r="L109" s="38"/>
      <c r="M109" s="38"/>
      <c r="N109" s="38"/>
      <c r="O109" s="162"/>
      <c r="P109" s="162"/>
    </row>
    <row r="110" spans="1:16" ht="19">
      <c r="A110" s="169"/>
      <c r="B110" s="170"/>
      <c r="C110" s="170"/>
      <c r="D110" s="177"/>
      <c r="E110" s="187" t="s">
        <v>58</v>
      </c>
      <c r="F110" s="177"/>
      <c r="G110" s="178"/>
      <c r="H110" s="36" t="s">
        <v>49</v>
      </c>
      <c r="I110" s="37">
        <f ca="1">IFERROR(__xludf.DUMMYFUNCTION("IMPORTRANGE(""https://docs.google.com/spreadsheets/d/1QqKyyYR6Q21VydFLVH3TRQUabQu_ym0Zz7PgGX0-kHA/edit?usp=sharing"",""แผน!Q82"")"),1)</f>
        <v>1</v>
      </c>
      <c r="J110" s="181">
        <v>1</v>
      </c>
      <c r="K110" s="38">
        <f t="shared" ca="1" si="58"/>
        <v>100</v>
      </c>
      <c r="L110" s="38"/>
      <c r="M110" s="38"/>
      <c r="N110" s="38"/>
      <c r="O110" s="162"/>
      <c r="P110" s="162"/>
    </row>
    <row r="111" spans="1:16" ht="19">
      <c r="A111" s="169"/>
      <c r="B111" s="170"/>
      <c r="C111" s="170"/>
      <c r="D111" s="183" t="s">
        <v>59</v>
      </c>
      <c r="E111" s="183"/>
      <c r="F111" s="177"/>
      <c r="G111" s="178"/>
      <c r="H111" s="188" t="s">
        <v>35</v>
      </c>
      <c r="I111" s="189">
        <f ca="1">IFERROR(__xludf.DUMMYFUNCTION("IMPORTRANGE(""https://docs.google.com/spreadsheets/d/1QqKyyYR6Q21VydFLVH3TRQUabQu_ym0Zz7PgGX0-kHA/edit?usp=sharing"",""แผน!R82"")"),10)</f>
        <v>10</v>
      </c>
      <c r="J111" s="190">
        <f>J114</f>
        <v>0</v>
      </c>
      <c r="K111" s="191">
        <f t="shared" ca="1" si="58"/>
        <v>0</v>
      </c>
      <c r="L111" s="38"/>
      <c r="M111" s="38"/>
      <c r="N111" s="38"/>
      <c r="O111" s="162"/>
      <c r="P111" s="162"/>
    </row>
    <row r="112" spans="1:16" ht="19">
      <c r="A112" s="169"/>
      <c r="B112" s="170"/>
      <c r="C112" s="170"/>
      <c r="D112" s="170"/>
      <c r="E112" s="177"/>
      <c r="F112" s="177"/>
      <c r="G112" s="178"/>
      <c r="H112" s="192" t="s">
        <v>49</v>
      </c>
      <c r="I112" s="189">
        <f t="shared" ref="I112:J112" ca="1" si="59">I115+I116</f>
        <v>2</v>
      </c>
      <c r="J112" s="190">
        <f t="shared" si="59"/>
        <v>0</v>
      </c>
      <c r="K112" s="191">
        <f t="shared" ca="1" si="58"/>
        <v>0</v>
      </c>
      <c r="L112" s="38"/>
      <c r="M112" s="38"/>
      <c r="N112" s="38"/>
      <c r="O112" s="162"/>
      <c r="P112" s="162"/>
    </row>
    <row r="113" spans="1:26" ht="19">
      <c r="A113" s="169"/>
      <c r="B113" s="170"/>
      <c r="C113" s="170"/>
      <c r="D113" s="170"/>
      <c r="E113" s="193" t="s">
        <v>60</v>
      </c>
      <c r="F113" s="177"/>
      <c r="G113" s="178"/>
      <c r="H113" s="194" t="s">
        <v>35</v>
      </c>
      <c r="I113" s="161">
        <f ca="1">IFERROR(__xludf.DUMMYFUNCTION("IMPORTRANGE(""https://docs.google.com/spreadsheets/d/1QqKyyYR6Q21VydFLVH3TRQUabQu_ym0Zz7PgGX0-kHA/edit?usp=sharing"",""แผน!R82"")"),10)</f>
        <v>10</v>
      </c>
      <c r="J113" s="181">
        <v>0</v>
      </c>
      <c r="K113" s="38">
        <f t="shared" ca="1" si="58"/>
        <v>0</v>
      </c>
      <c r="L113" s="38"/>
      <c r="M113" s="38"/>
      <c r="N113" s="38"/>
      <c r="O113" s="162"/>
      <c r="P113" s="162"/>
    </row>
    <row r="114" spans="1:26" ht="19">
      <c r="A114" s="169"/>
      <c r="B114" s="170"/>
      <c r="C114" s="170"/>
      <c r="D114" s="170"/>
      <c r="E114" s="176" t="s">
        <v>61</v>
      </c>
      <c r="F114" s="177"/>
      <c r="G114" s="178"/>
      <c r="H114" s="195" t="s">
        <v>35</v>
      </c>
      <c r="I114" s="161">
        <f ca="1">IFERROR(__xludf.DUMMYFUNCTION("IMPORTRANGE(""https://docs.google.com/spreadsheets/d/1QqKyyYR6Q21VydFLVH3TRQUabQu_ym0Zz7PgGX0-kHA/edit?usp=sharing"",""แผน!R82"")"),10)</f>
        <v>10</v>
      </c>
      <c r="J114" s="181">
        <v>0</v>
      </c>
      <c r="K114" s="38">
        <f t="shared" ca="1" si="58"/>
        <v>0</v>
      </c>
      <c r="L114" s="38"/>
      <c r="M114" s="38"/>
      <c r="N114" s="38"/>
      <c r="O114" s="162"/>
      <c r="P114" s="162"/>
    </row>
    <row r="115" spans="1:26" ht="19">
      <c r="A115" s="169"/>
      <c r="B115" s="170"/>
      <c r="C115" s="170"/>
      <c r="D115" s="170"/>
      <c r="E115" s="176" t="s">
        <v>62</v>
      </c>
      <c r="F115" s="177"/>
      <c r="G115" s="178"/>
      <c r="H115" s="195" t="s">
        <v>49</v>
      </c>
      <c r="I115" s="161">
        <f ca="1">IFERROR(__xludf.DUMMYFUNCTION("IMPORTRANGE(""https://docs.google.com/spreadsheets/d/1QqKyyYR6Q21VydFLVH3TRQUabQu_ym0Zz7PgGX0-kHA/edit?usp=sharing"",""แผน!S82"")"),1)</f>
        <v>1</v>
      </c>
      <c r="J115" s="181">
        <v>0</v>
      </c>
      <c r="K115" s="38">
        <f t="shared" ca="1" si="58"/>
        <v>0</v>
      </c>
      <c r="L115" s="38"/>
      <c r="M115" s="38"/>
      <c r="N115" s="38"/>
      <c r="O115" s="162"/>
      <c r="P115" s="162"/>
    </row>
    <row r="116" spans="1:26" ht="19">
      <c r="A116" s="169"/>
      <c r="B116" s="170"/>
      <c r="C116" s="170"/>
      <c r="D116" s="170"/>
      <c r="E116" s="176" t="s">
        <v>63</v>
      </c>
      <c r="F116" s="177"/>
      <c r="G116" s="178"/>
      <c r="H116" s="195" t="s">
        <v>49</v>
      </c>
      <c r="I116" s="161">
        <f ca="1">IFERROR(__xludf.DUMMYFUNCTION("IMPORTRANGE(""https://docs.google.com/spreadsheets/d/1QqKyyYR6Q21VydFLVH3TRQUabQu_ym0Zz7PgGX0-kHA/edit?usp=sharing"",""แผน!T82"")"),1)</f>
        <v>1</v>
      </c>
      <c r="J116" s="181">
        <v>0</v>
      </c>
      <c r="K116" s="38">
        <f t="shared" ca="1" si="58"/>
        <v>0</v>
      </c>
      <c r="L116" s="38"/>
      <c r="M116" s="38"/>
      <c r="N116" s="38"/>
      <c r="O116" s="162"/>
      <c r="P116" s="162"/>
    </row>
    <row r="117" spans="1:26" ht="19" hidden="1">
      <c r="A117" s="130" t="s">
        <v>64</v>
      </c>
      <c r="B117" s="131"/>
      <c r="C117" s="196"/>
      <c r="D117" s="131"/>
      <c r="E117" s="131"/>
      <c r="F117" s="131"/>
      <c r="G117" s="131"/>
      <c r="H117" s="197"/>
      <c r="I117" s="198"/>
      <c r="J117" s="198"/>
      <c r="K117" s="199"/>
      <c r="L117" s="136"/>
      <c r="M117" s="136"/>
      <c r="N117" s="136"/>
      <c r="O117" s="136"/>
      <c r="P117" s="136"/>
    </row>
    <row r="118" spans="1:26" ht="19" hidden="1">
      <c r="A118" s="137"/>
      <c r="B118" s="138" t="s">
        <v>65</v>
      </c>
      <c r="C118" s="200"/>
      <c r="D118" s="140"/>
      <c r="E118" s="139"/>
      <c r="F118" s="139"/>
      <c r="G118" s="141"/>
      <c r="H118" s="142"/>
      <c r="I118" s="202">
        <v>0</v>
      </c>
      <c r="J118" s="202">
        <v>0</v>
      </c>
      <c r="K118" s="145">
        <v>0</v>
      </c>
      <c r="L118" s="145"/>
      <c r="M118" s="145"/>
      <c r="N118" s="145"/>
      <c r="O118" s="145"/>
      <c r="P118" s="145"/>
    </row>
    <row r="119" spans="1:26" ht="19" hidden="1">
      <c r="A119" s="146"/>
      <c r="B119" s="147"/>
      <c r="C119" s="148" t="s">
        <v>16</v>
      </c>
      <c r="D119" s="795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9" hidden="1">
      <c r="A120" s="155"/>
      <c r="B120" s="40"/>
      <c r="C120" s="40"/>
      <c r="D120" s="40"/>
      <c r="E120" s="41" t="s">
        <v>18</v>
      </c>
      <c r="F120" s="40"/>
      <c r="G120" s="156"/>
      <c r="H120" s="157" t="s">
        <v>12</v>
      </c>
      <c r="I120" s="44"/>
      <c r="J120" s="44"/>
      <c r="K120" s="45"/>
      <c r="L120" s="45">
        <f t="shared" ref="L120:N121" si="63">L123+L126</f>
        <v>0</v>
      </c>
      <c r="M120" s="45">
        <f t="shared" si="63"/>
        <v>0</v>
      </c>
      <c r="N120" s="45">
        <f t="shared" si="63"/>
        <v>0</v>
      </c>
      <c r="O120" s="45">
        <f t="shared" si="61"/>
        <v>0</v>
      </c>
      <c r="P120" s="45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9" hidden="1">
      <c r="A121" s="155"/>
      <c r="B121" s="40"/>
      <c r="C121" s="40"/>
      <c r="D121" s="40"/>
      <c r="E121" s="41" t="s">
        <v>19</v>
      </c>
      <c r="F121" s="40"/>
      <c r="G121" s="156"/>
      <c r="H121" s="157" t="s">
        <v>12</v>
      </c>
      <c r="I121" s="44"/>
      <c r="J121" s="44"/>
      <c r="K121" s="45"/>
      <c r="L121" s="45">
        <f t="shared" ca="1" si="63"/>
        <v>0</v>
      </c>
      <c r="M121" s="45">
        <f t="shared" ca="1" si="63"/>
        <v>0</v>
      </c>
      <c r="N121" s="45">
        <f t="shared" ca="1" si="63"/>
        <v>0</v>
      </c>
      <c r="O121" s="45">
        <f t="shared" ca="1" si="61"/>
        <v>0</v>
      </c>
      <c r="P121" s="45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9" hidden="1">
      <c r="A122" s="158"/>
      <c r="B122" s="33"/>
      <c r="C122" s="159"/>
      <c r="D122" s="34" t="s">
        <v>20</v>
      </c>
      <c r="E122" s="33"/>
      <c r="F122" s="33"/>
      <c r="G122" s="35"/>
      <c r="H122" s="160" t="s">
        <v>12</v>
      </c>
      <c r="I122" s="161"/>
      <c r="J122" s="161"/>
      <c r="K122" s="162"/>
      <c r="L122" s="38">
        <f t="shared" ref="L122:N122" ca="1" si="64">L123+L124</f>
        <v>0</v>
      </c>
      <c r="M122" s="38">
        <f t="shared" ca="1" si="64"/>
        <v>0</v>
      </c>
      <c r="N122" s="38">
        <f t="shared" ca="1" si="64"/>
        <v>0</v>
      </c>
      <c r="O122" s="38">
        <f t="shared" ca="1" si="61"/>
        <v>0</v>
      </c>
      <c r="P122" s="3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9" hidden="1">
      <c r="A123" s="155"/>
      <c r="B123" s="40"/>
      <c r="C123" s="41"/>
      <c r="D123" s="40"/>
      <c r="E123" s="41" t="s">
        <v>36</v>
      </c>
      <c r="F123" s="40"/>
      <c r="G123" s="156"/>
      <c r="H123" s="164" t="s">
        <v>12</v>
      </c>
      <c r="I123" s="165"/>
      <c r="J123" s="165"/>
      <c r="K123" s="166"/>
      <c r="L123" s="45">
        <v>0</v>
      </c>
      <c r="M123" s="45">
        <v>0</v>
      </c>
      <c r="N123" s="45">
        <v>0</v>
      </c>
      <c r="O123" s="45">
        <f t="shared" si="61"/>
        <v>0</v>
      </c>
      <c r="P123" s="45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9" hidden="1">
      <c r="A124" s="155"/>
      <c r="B124" s="40"/>
      <c r="C124" s="41"/>
      <c r="D124" s="40"/>
      <c r="E124" s="41" t="s">
        <v>37</v>
      </c>
      <c r="F124" s="40"/>
      <c r="G124" s="156"/>
      <c r="H124" s="164" t="s">
        <v>12</v>
      </c>
      <c r="I124" s="165"/>
      <c r="J124" s="165"/>
      <c r="K124" s="166"/>
      <c r="L124" s="45">
        <f ca="1">IFERROR(__xludf.DUMMYFUNCTION("IMPORTRANGE(""https://docs.google.com/spreadsheets/d/1MeEWN-I1oV_STSDYn1IFDPWt_1FKiwhDph83XaGc0o0/edit?usp=sharing"",""งบพรบ!BA82"")"),0)</f>
        <v>0</v>
      </c>
      <c r="M124" s="45">
        <f ca="1">IFERROR(__xludf.DUMMYFUNCTION("IMPORTRANGE(""https://docs.google.com/spreadsheets/d/1MeEWN-I1oV_STSDYn1IFDPWt_1FKiwhDph83XaGc0o0/edit?usp=sharing"",""งบพรบ!BF82"")"),0)</f>
        <v>0</v>
      </c>
      <c r="N124" s="45">
        <f ca="1">IFERROR(__xludf.DUMMYFUNCTION("IMPORTRANGE(""https://docs.google.com/spreadsheets/d/1MeEWN-I1oV_STSDYn1IFDPWt_1FKiwhDph83XaGc0o0/edit?usp=sharing"",""งบพรบ!BH82"")"),0)</f>
        <v>0</v>
      </c>
      <c r="O124" s="45">
        <f t="shared" ca="1" si="61"/>
        <v>0</v>
      </c>
      <c r="P124" s="45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9" hidden="1">
      <c r="A125" s="158"/>
      <c r="B125" s="33"/>
      <c r="C125" s="159"/>
      <c r="D125" s="34" t="s">
        <v>21</v>
      </c>
      <c r="E125" s="33"/>
      <c r="F125" s="33"/>
      <c r="G125" s="35"/>
      <c r="H125" s="167" t="s">
        <v>12</v>
      </c>
      <c r="I125" s="161"/>
      <c r="J125" s="161"/>
      <c r="K125" s="162"/>
      <c r="L125" s="38">
        <f t="shared" ref="L125:N125" ca="1" si="65">L126+L127</f>
        <v>0</v>
      </c>
      <c r="M125" s="38">
        <f t="shared" ca="1" si="65"/>
        <v>0</v>
      </c>
      <c r="N125" s="38">
        <f t="shared" ca="1" si="65"/>
        <v>0</v>
      </c>
      <c r="O125" s="38">
        <f t="shared" ca="1" si="61"/>
        <v>0</v>
      </c>
      <c r="P125" s="3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" hidden="1">
      <c r="A126" s="155"/>
      <c r="B126" s="40"/>
      <c r="C126" s="163"/>
      <c r="D126" s="40"/>
      <c r="E126" s="41" t="s">
        <v>18</v>
      </c>
      <c r="F126" s="40"/>
      <c r="G126" s="156"/>
      <c r="H126" s="164" t="s">
        <v>12</v>
      </c>
      <c r="I126" s="165"/>
      <c r="J126" s="165"/>
      <c r="K126" s="166"/>
      <c r="L126" s="45">
        <v>0</v>
      </c>
      <c r="M126" s="45">
        <v>0</v>
      </c>
      <c r="N126" s="45">
        <v>0</v>
      </c>
      <c r="O126" s="45">
        <f t="shared" si="61"/>
        <v>0</v>
      </c>
      <c r="P126" s="45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" hidden="1">
      <c r="A127" s="155"/>
      <c r="B127" s="40"/>
      <c r="C127" s="163"/>
      <c r="D127" s="40"/>
      <c r="E127" s="41" t="s">
        <v>19</v>
      </c>
      <c r="F127" s="40"/>
      <c r="G127" s="156"/>
      <c r="H127" s="168" t="s">
        <v>12</v>
      </c>
      <c r="I127" s="165"/>
      <c r="J127" s="165"/>
      <c r="K127" s="166"/>
      <c r="L127" s="45">
        <f ca="1">IFERROR(__xludf.DUMMYFUNCTION("IMPORTRANGE(""https://docs.google.com/spreadsheets/d/1MeEWN-I1oV_STSDYn1IFDPWt_1FKiwhDph83XaGc0o0/edit?usp=sharing"",""งบพรบ!BD82"")"),0)</f>
        <v>0</v>
      </c>
      <c r="M127" s="45">
        <f ca="1">IFERROR(__xludf.DUMMYFUNCTION("IMPORTRANGE(""https://docs.google.com/spreadsheets/d/1MeEWN-I1oV_STSDYn1IFDPWt_1FKiwhDph83XaGc0o0/edit?usp=sharing"",""งบพรบ!BG82"")"),0)</f>
        <v>0</v>
      </c>
      <c r="N127" s="45">
        <f ca="1">IFERROR(__xludf.DUMMYFUNCTION("IMPORTRANGE(""https://docs.google.com/spreadsheets/d/1MeEWN-I1oV_STSDYn1IFDPWt_1FKiwhDph83XaGc0o0/edit?usp=sharing"",""งบพรบ!BI82"")"),0)</f>
        <v>0</v>
      </c>
      <c r="O127" s="45">
        <f t="shared" ca="1" si="61"/>
        <v>0</v>
      </c>
      <c r="P127" s="45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">
      <c r="A128" s="130" t="s">
        <v>67</v>
      </c>
      <c r="B128" s="131"/>
      <c r="C128" s="196"/>
      <c r="D128" s="131"/>
      <c r="E128" s="131"/>
      <c r="F128" s="131"/>
      <c r="G128" s="131"/>
      <c r="H128" s="197"/>
      <c r="I128" s="198"/>
      <c r="J128" s="198"/>
      <c r="K128" s="199"/>
      <c r="L128" s="136"/>
      <c r="M128" s="136"/>
      <c r="N128" s="136"/>
      <c r="O128" s="136"/>
      <c r="P128" s="136"/>
    </row>
    <row r="129" spans="1:26" ht="19">
      <c r="A129" s="137"/>
      <c r="B129" s="138" t="s">
        <v>68</v>
      </c>
      <c r="C129" s="200"/>
      <c r="D129" s="140"/>
      <c r="E129" s="139"/>
      <c r="F129" s="139"/>
      <c r="G129" s="139"/>
      <c r="H129" s="201"/>
      <c r="I129" s="202"/>
      <c r="J129" s="202"/>
      <c r="K129" s="145"/>
      <c r="L129" s="145"/>
      <c r="M129" s="145"/>
      <c r="N129" s="145"/>
      <c r="O129" s="145"/>
      <c r="P129" s="145"/>
    </row>
    <row r="130" spans="1:26" ht="19">
      <c r="A130" s="137"/>
      <c r="B130" s="138"/>
      <c r="C130" s="203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66">I146</f>
        <v>3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">
      <c r="A131" s="137"/>
      <c r="B131" s="138"/>
      <c r="C131" s="203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68">I143</f>
        <v>30</v>
      </c>
      <c r="J131" s="143">
        <f t="shared" ca="1" si="68"/>
        <v>30</v>
      </c>
      <c r="K131" s="144">
        <f t="shared" ca="1" si="67"/>
        <v>100</v>
      </c>
      <c r="L131" s="145"/>
      <c r="M131" s="145"/>
      <c r="N131" s="145"/>
      <c r="O131" s="145"/>
      <c r="P131" s="145"/>
    </row>
    <row r="132" spans="1:26" ht="19">
      <c r="A132" s="146"/>
      <c r="B132" s="147"/>
      <c r="C132" s="148" t="s">
        <v>16</v>
      </c>
      <c r="D132" s="795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69">L133+L134</f>
        <v>454965</v>
      </c>
      <c r="M132" s="154">
        <f t="shared" ca="1" si="69"/>
        <v>454965</v>
      </c>
      <c r="N132" s="154">
        <f t="shared" ca="1" si="69"/>
        <v>433621</v>
      </c>
      <c r="O132" s="154">
        <f t="shared" ref="O132:O140" ca="1" si="70">IF(L132&gt;0,N132*100/L132,0)</f>
        <v>95.308650115942982</v>
      </c>
      <c r="P132" s="154">
        <f t="shared" ref="P132:P140" ca="1" si="71">IF(M132&gt;0,N132*100/M132,0)</f>
        <v>95.308650115942982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9" hidden="1">
      <c r="A133" s="155"/>
      <c r="B133" s="40"/>
      <c r="C133" s="40"/>
      <c r="D133" s="40"/>
      <c r="E133" s="41" t="s">
        <v>18</v>
      </c>
      <c r="F133" s="40"/>
      <c r="G133" s="156"/>
      <c r="H133" s="157" t="s">
        <v>12</v>
      </c>
      <c r="I133" s="44"/>
      <c r="J133" s="44"/>
      <c r="K133" s="45"/>
      <c r="L133" s="45">
        <f t="shared" ref="L133:N134" si="72">L136+L139</f>
        <v>0</v>
      </c>
      <c r="M133" s="45">
        <f t="shared" si="72"/>
        <v>0</v>
      </c>
      <c r="N133" s="45">
        <f t="shared" si="72"/>
        <v>0</v>
      </c>
      <c r="O133" s="45">
        <f t="shared" si="70"/>
        <v>0</v>
      </c>
      <c r="P133" s="45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9" hidden="1">
      <c r="A134" s="155"/>
      <c r="B134" s="40"/>
      <c r="C134" s="40"/>
      <c r="D134" s="40"/>
      <c r="E134" s="41" t="s">
        <v>19</v>
      </c>
      <c r="F134" s="40"/>
      <c r="G134" s="156"/>
      <c r="H134" s="157" t="s">
        <v>12</v>
      </c>
      <c r="I134" s="44"/>
      <c r="J134" s="44"/>
      <c r="K134" s="45"/>
      <c r="L134" s="45">
        <f t="shared" ca="1" si="72"/>
        <v>454965</v>
      </c>
      <c r="M134" s="45">
        <f t="shared" ca="1" si="72"/>
        <v>454965</v>
      </c>
      <c r="N134" s="45">
        <f t="shared" ca="1" si="72"/>
        <v>433621</v>
      </c>
      <c r="O134" s="45">
        <f t="shared" ca="1" si="70"/>
        <v>95.308650115942982</v>
      </c>
      <c r="P134" s="45">
        <f t="shared" ca="1" si="71"/>
        <v>95.308650115942982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9">
      <c r="A135" s="158"/>
      <c r="B135" s="33"/>
      <c r="C135" s="159"/>
      <c r="D135" s="34" t="s">
        <v>20</v>
      </c>
      <c r="E135" s="33"/>
      <c r="F135" s="33"/>
      <c r="G135" s="35"/>
      <c r="H135" s="160" t="s">
        <v>12</v>
      </c>
      <c r="I135" s="161"/>
      <c r="J135" s="161"/>
      <c r="K135" s="162"/>
      <c r="L135" s="38">
        <f t="shared" ref="L135:N135" ca="1" si="73">L136+L137</f>
        <v>145965</v>
      </c>
      <c r="M135" s="38">
        <f t="shared" ca="1" si="73"/>
        <v>145965</v>
      </c>
      <c r="N135" s="38">
        <f t="shared" ca="1" si="73"/>
        <v>124621</v>
      </c>
      <c r="O135" s="38">
        <f t="shared" ca="1" si="70"/>
        <v>85.377316479978077</v>
      </c>
      <c r="P135" s="38">
        <f t="shared" ca="1" si="71"/>
        <v>85.377316479978077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" hidden="1">
      <c r="A136" s="155"/>
      <c r="B136" s="40"/>
      <c r="C136" s="163"/>
      <c r="D136" s="40"/>
      <c r="E136" s="41" t="s">
        <v>36</v>
      </c>
      <c r="F136" s="40"/>
      <c r="G136" s="156"/>
      <c r="H136" s="164" t="s">
        <v>12</v>
      </c>
      <c r="I136" s="165"/>
      <c r="J136" s="165"/>
      <c r="K136" s="166"/>
      <c r="L136" s="45">
        <v>0</v>
      </c>
      <c r="M136" s="45">
        <v>0</v>
      </c>
      <c r="N136" s="45">
        <v>0</v>
      </c>
      <c r="O136" s="45">
        <f t="shared" si="70"/>
        <v>0</v>
      </c>
      <c r="P136" s="45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" hidden="1">
      <c r="A137" s="155"/>
      <c r="B137" s="40"/>
      <c r="C137" s="163"/>
      <c r="D137" s="40"/>
      <c r="E137" s="41" t="s">
        <v>37</v>
      </c>
      <c r="F137" s="40"/>
      <c r="G137" s="156"/>
      <c r="H137" s="164" t="s">
        <v>12</v>
      </c>
      <c r="I137" s="165"/>
      <c r="J137" s="165"/>
      <c r="K137" s="166"/>
      <c r="L137" s="45">
        <f ca="1">IFERROR(__xludf.DUMMYFUNCTION("IMPORTRANGE(""https://docs.google.com/spreadsheets/d/1MeEWN-I1oV_STSDYn1IFDPWt_1FKiwhDph83XaGc0o0/edit?usp=sharing"",""งบพรบ!BK82"")"),145965)</f>
        <v>145965</v>
      </c>
      <c r="M137" s="45">
        <f ca="1">IFERROR(__xludf.DUMMYFUNCTION("IMPORTRANGE(""https://docs.google.com/spreadsheets/d/1MeEWN-I1oV_STSDYn1IFDPWt_1FKiwhDph83XaGc0o0/edit?usp=sharing"",""งบพรบ!BP82"")"),145965)</f>
        <v>145965</v>
      </c>
      <c r="N137" s="45">
        <f ca="1">IFERROR(__xludf.DUMMYFUNCTION("IMPORTRANGE(""https://docs.google.com/spreadsheets/d/1MeEWN-I1oV_STSDYn1IFDPWt_1FKiwhDph83XaGc0o0/edit?usp=sharing"",""งบพรบ!BR82"")"),124621)</f>
        <v>124621</v>
      </c>
      <c r="O137" s="45">
        <f t="shared" ca="1" si="70"/>
        <v>85.377316479978077</v>
      </c>
      <c r="P137" s="45">
        <f t="shared" ca="1" si="71"/>
        <v>85.377316479978077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9">
      <c r="A138" s="158"/>
      <c r="B138" s="33"/>
      <c r="C138" s="159"/>
      <c r="D138" s="34" t="s">
        <v>21</v>
      </c>
      <c r="E138" s="33"/>
      <c r="F138" s="33"/>
      <c r="G138" s="35"/>
      <c r="H138" s="167" t="s">
        <v>12</v>
      </c>
      <c r="I138" s="161"/>
      <c r="J138" s="161"/>
      <c r="K138" s="162"/>
      <c r="L138" s="38">
        <f t="shared" ref="L138:N138" ca="1" si="74">L139+L140</f>
        <v>309000</v>
      </c>
      <c r="M138" s="38">
        <f t="shared" ca="1" si="74"/>
        <v>309000</v>
      </c>
      <c r="N138" s="38">
        <f t="shared" ca="1" si="74"/>
        <v>309000</v>
      </c>
      <c r="O138" s="38">
        <f t="shared" ca="1" si="70"/>
        <v>100</v>
      </c>
      <c r="P138" s="3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" hidden="1">
      <c r="A139" s="155"/>
      <c r="B139" s="40"/>
      <c r="C139" s="163"/>
      <c r="D139" s="40"/>
      <c r="E139" s="41" t="s">
        <v>18</v>
      </c>
      <c r="F139" s="40"/>
      <c r="G139" s="156"/>
      <c r="H139" s="164" t="s">
        <v>12</v>
      </c>
      <c r="I139" s="165"/>
      <c r="J139" s="165"/>
      <c r="K139" s="166"/>
      <c r="L139" s="45">
        <v>0</v>
      </c>
      <c r="M139" s="45">
        <v>0</v>
      </c>
      <c r="N139" s="45">
        <v>0</v>
      </c>
      <c r="O139" s="45">
        <f t="shared" si="70"/>
        <v>0</v>
      </c>
      <c r="P139" s="45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" hidden="1">
      <c r="A140" s="155"/>
      <c r="B140" s="40"/>
      <c r="C140" s="163"/>
      <c r="D140" s="40"/>
      <c r="E140" s="41" t="s">
        <v>19</v>
      </c>
      <c r="F140" s="40"/>
      <c r="G140" s="156"/>
      <c r="H140" s="168" t="s">
        <v>12</v>
      </c>
      <c r="I140" s="165"/>
      <c r="J140" s="165"/>
      <c r="K140" s="166"/>
      <c r="L140" s="45">
        <f ca="1">IFERROR(__xludf.DUMMYFUNCTION("IMPORTRANGE(""https://docs.google.com/spreadsheets/d/1MeEWN-I1oV_STSDYn1IFDPWt_1FKiwhDph83XaGc0o0/edit?usp=sharing"",""งบพรบ!BN82"")"),309000)</f>
        <v>309000</v>
      </c>
      <c r="M140" s="45">
        <f ca="1">IFERROR(__xludf.DUMMYFUNCTION("IMPORTRANGE(""https://docs.google.com/spreadsheets/d/1MeEWN-I1oV_STSDYn1IFDPWt_1FKiwhDph83XaGc0o0/edit?usp=sharing"",""งบพรบ!BQ82"")"),309000)</f>
        <v>309000</v>
      </c>
      <c r="N140" s="45">
        <f ca="1">IFERROR(__xludf.DUMMYFUNCTION("IMPORTRANGE(""https://docs.google.com/spreadsheets/d/1MeEWN-I1oV_STSDYn1IFDPWt_1FKiwhDph83XaGc0o0/edit?usp=sharing"",""งบพรบ!BS82"")"),309000)</f>
        <v>309000</v>
      </c>
      <c r="O140" s="45">
        <f t="shared" ca="1" si="70"/>
        <v>100</v>
      </c>
      <c r="P140" s="45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">
      <c r="A141" s="169"/>
      <c r="B141" s="170"/>
      <c r="C141" s="148" t="s">
        <v>16</v>
      </c>
      <c r="D141" s="796" t="s">
        <v>38</v>
      </c>
      <c r="E141" s="172"/>
      <c r="F141" s="172"/>
      <c r="G141" s="173"/>
      <c r="H141" s="167"/>
      <c r="I141" s="37"/>
      <c r="J141" s="37"/>
      <c r="K141" s="38"/>
      <c r="L141" s="38"/>
      <c r="M141" s="38"/>
      <c r="N141" s="38"/>
      <c r="O141" s="38"/>
      <c r="P141" s="38"/>
    </row>
    <row r="142" spans="1:26" ht="19">
      <c r="A142" s="158"/>
      <c r="B142" s="33"/>
      <c r="C142" s="204"/>
      <c r="D142" s="159" t="s">
        <v>71</v>
      </c>
      <c r="E142" s="34"/>
      <c r="F142" s="33"/>
      <c r="G142" s="206"/>
      <c r="H142" s="167"/>
      <c r="I142" s="37"/>
      <c r="J142" s="181">
        <v>0</v>
      </c>
      <c r="K142" s="38"/>
      <c r="L142" s="38"/>
      <c r="M142" s="38"/>
      <c r="N142" s="38"/>
      <c r="O142" s="38"/>
      <c r="P142" s="38"/>
    </row>
    <row r="143" spans="1:26" ht="19">
      <c r="A143" s="158"/>
      <c r="B143" s="33"/>
      <c r="C143" s="204"/>
      <c r="D143" s="159" t="s">
        <v>72</v>
      </c>
      <c r="E143" s="34"/>
      <c r="F143" s="33"/>
      <c r="G143" s="206"/>
      <c r="H143" s="167" t="s">
        <v>35</v>
      </c>
      <c r="I143" s="37">
        <f ca="1">I145</f>
        <v>30</v>
      </c>
      <c r="J143" s="37">
        <f ca="1">IF(AND(J144&gt;=I144,J145&gt;=I145),J145,0)</f>
        <v>30</v>
      </c>
      <c r="K143" s="38">
        <f t="shared" ref="K143:K146" ca="1" si="75">IF(I143&gt;0,J143*100/I143,0)</f>
        <v>100</v>
      </c>
      <c r="L143" s="38"/>
      <c r="M143" s="38"/>
      <c r="N143" s="38"/>
      <c r="O143" s="38"/>
      <c r="P143" s="38"/>
    </row>
    <row r="144" spans="1:26" ht="19">
      <c r="A144" s="158"/>
      <c r="B144" s="33"/>
      <c r="C144" s="204"/>
      <c r="D144" s="177"/>
      <c r="E144" s="159" t="s">
        <v>73</v>
      </c>
      <c r="F144" s="33"/>
      <c r="G144" s="206"/>
      <c r="H144" s="167" t="s">
        <v>35</v>
      </c>
      <c r="I144" s="37">
        <f ca="1">IFERROR(__xludf.DUMMYFUNCTION("IMPORTRANGE(""https://docs.google.com/spreadsheets/d/1QqKyyYR6Q21VydFLVH3TRQUabQu_ym0Zz7PgGX0-kHA/edit?usp=sharing"",""แผน!U82"")"),15)</f>
        <v>15</v>
      </c>
      <c r="J144" s="181">
        <v>15</v>
      </c>
      <c r="K144" s="38">
        <f t="shared" ca="1" si="75"/>
        <v>100</v>
      </c>
      <c r="L144" s="38"/>
      <c r="M144" s="38"/>
      <c r="N144" s="38"/>
      <c r="O144" s="38"/>
      <c r="P144" s="38"/>
    </row>
    <row r="145" spans="1:26" ht="19">
      <c r="A145" s="158"/>
      <c r="B145" s="33"/>
      <c r="C145" s="204"/>
      <c r="D145" s="177"/>
      <c r="E145" s="159" t="s">
        <v>74</v>
      </c>
      <c r="F145" s="33"/>
      <c r="G145" s="206"/>
      <c r="H145" s="167" t="s">
        <v>35</v>
      </c>
      <c r="I145" s="37">
        <f ca="1">IFERROR(__xludf.DUMMYFUNCTION("IMPORTRANGE(""https://docs.google.com/spreadsheets/d/1QqKyyYR6Q21VydFLVH3TRQUabQu_ym0Zz7PgGX0-kHA/edit?usp=sharing"",""แผน!V82"")"),30)</f>
        <v>30</v>
      </c>
      <c r="J145" s="181">
        <v>30</v>
      </c>
      <c r="K145" s="38">
        <f t="shared" ca="1" si="75"/>
        <v>100</v>
      </c>
      <c r="L145" s="38"/>
      <c r="M145" s="38"/>
      <c r="N145" s="38"/>
      <c r="O145" s="38"/>
      <c r="P145" s="38"/>
    </row>
    <row r="146" spans="1:26" ht="19">
      <c r="A146" s="158"/>
      <c r="B146" s="33"/>
      <c r="C146" s="204"/>
      <c r="D146" s="159" t="s">
        <v>75</v>
      </c>
      <c r="E146" s="34"/>
      <c r="F146" s="33"/>
      <c r="G146" s="206"/>
      <c r="H146" s="167" t="s">
        <v>66</v>
      </c>
      <c r="I146" s="37">
        <f ca="1">IFERROR(__xludf.DUMMYFUNCTION("IMPORTRANGE(""https://docs.google.com/spreadsheets/d/1QqKyyYR6Q21VydFLVH3TRQUabQu_ym0Zz7PgGX0-kHA/edit?usp=sharing"",""แผน!W82"")"),3)</f>
        <v>3</v>
      </c>
      <c r="J146" s="181">
        <v>0</v>
      </c>
      <c r="K146" s="38">
        <f t="shared" ca="1" si="75"/>
        <v>0</v>
      </c>
      <c r="L146" s="38"/>
      <c r="M146" s="38"/>
      <c r="N146" s="38"/>
      <c r="O146" s="38"/>
      <c r="P146" s="38"/>
    </row>
    <row r="147" spans="1:26" ht="19" hidden="1">
      <c r="A147" s="130" t="s">
        <v>76</v>
      </c>
      <c r="B147" s="131"/>
      <c r="C147" s="196"/>
      <c r="D147" s="131"/>
      <c r="E147" s="131"/>
      <c r="F147" s="131"/>
      <c r="G147" s="131"/>
      <c r="H147" s="197"/>
      <c r="I147" s="198"/>
      <c r="J147" s="198"/>
      <c r="K147" s="199"/>
      <c r="L147" s="136"/>
      <c r="M147" s="136"/>
      <c r="N147" s="136"/>
      <c r="O147" s="136"/>
      <c r="P147" s="136"/>
    </row>
    <row r="148" spans="1:26" ht="19" hidden="1">
      <c r="A148" s="207"/>
      <c r="B148" s="138" t="s">
        <v>77</v>
      </c>
      <c r="C148" s="138"/>
      <c r="D148" s="138"/>
      <c r="E148" s="797"/>
      <c r="F148" s="209"/>
      <c r="G148" s="210"/>
      <c r="H148" s="211" t="s">
        <v>35</v>
      </c>
      <c r="I148" s="143">
        <f t="shared" ref="I148:J148" ca="1" si="76">I159</f>
        <v>0</v>
      </c>
      <c r="J148" s="143">
        <f t="shared" si="76"/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9" hidden="1">
      <c r="A149" s="146"/>
      <c r="B149" s="147"/>
      <c r="C149" s="148" t="s">
        <v>16</v>
      </c>
      <c r="D149" s="795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77">L150+L151</f>
        <v>0</v>
      </c>
      <c r="M149" s="154">
        <f t="shared" ca="1" si="77"/>
        <v>0</v>
      </c>
      <c r="N149" s="154">
        <f t="shared" ca="1" si="77"/>
        <v>0</v>
      </c>
      <c r="O149" s="154">
        <f t="shared" ref="O149:O157" ca="1" si="78">IF(L149&gt;0,N149*100/L149,0)</f>
        <v>0</v>
      </c>
      <c r="P149" s="154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9" hidden="1">
      <c r="A150" s="155"/>
      <c r="B150" s="40"/>
      <c r="C150" s="40"/>
      <c r="D150" s="40"/>
      <c r="E150" s="41" t="s">
        <v>18</v>
      </c>
      <c r="F150" s="40"/>
      <c r="G150" s="156"/>
      <c r="H150" s="157" t="s">
        <v>12</v>
      </c>
      <c r="I150" s="44"/>
      <c r="J150" s="44"/>
      <c r="K150" s="45"/>
      <c r="L150" s="45">
        <f t="shared" ref="L150:N151" si="80">L153+L156</f>
        <v>0</v>
      </c>
      <c r="M150" s="45">
        <f t="shared" si="80"/>
        <v>0</v>
      </c>
      <c r="N150" s="45">
        <f t="shared" si="80"/>
        <v>0</v>
      </c>
      <c r="O150" s="45">
        <f t="shared" si="78"/>
        <v>0</v>
      </c>
      <c r="P150" s="45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" hidden="1">
      <c r="A151" s="155"/>
      <c r="B151" s="40"/>
      <c r="C151" s="40"/>
      <c r="D151" s="40"/>
      <c r="E151" s="41" t="s">
        <v>19</v>
      </c>
      <c r="F151" s="40"/>
      <c r="G151" s="156"/>
      <c r="H151" s="157" t="s">
        <v>12</v>
      </c>
      <c r="I151" s="44"/>
      <c r="J151" s="44"/>
      <c r="K151" s="45"/>
      <c r="L151" s="45">
        <f t="shared" ca="1" si="80"/>
        <v>0</v>
      </c>
      <c r="M151" s="45">
        <f t="shared" ca="1" si="80"/>
        <v>0</v>
      </c>
      <c r="N151" s="45">
        <f t="shared" ca="1" si="80"/>
        <v>0</v>
      </c>
      <c r="O151" s="45">
        <f t="shared" ca="1" si="78"/>
        <v>0</v>
      </c>
      <c r="P151" s="45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9" hidden="1">
      <c r="A152" s="158"/>
      <c r="B152" s="33"/>
      <c r="C152" s="159"/>
      <c r="D152" s="34" t="s">
        <v>20</v>
      </c>
      <c r="E152" s="33"/>
      <c r="F152" s="33"/>
      <c r="G152" s="35"/>
      <c r="H152" s="160" t="s">
        <v>12</v>
      </c>
      <c r="I152" s="161"/>
      <c r="J152" s="161"/>
      <c r="K152" s="162"/>
      <c r="L152" s="38">
        <f t="shared" ref="L152:N152" ca="1" si="81">L153+L154</f>
        <v>0</v>
      </c>
      <c r="M152" s="38">
        <f t="shared" ca="1" si="81"/>
        <v>0</v>
      </c>
      <c r="N152" s="38">
        <f t="shared" ca="1" si="81"/>
        <v>0</v>
      </c>
      <c r="O152" s="38">
        <f t="shared" ca="1" si="78"/>
        <v>0</v>
      </c>
      <c r="P152" s="3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" hidden="1">
      <c r="A153" s="155"/>
      <c r="B153" s="40"/>
      <c r="C153" s="163"/>
      <c r="D153" s="40"/>
      <c r="E153" s="41" t="s">
        <v>36</v>
      </c>
      <c r="F153" s="40"/>
      <c r="G153" s="156"/>
      <c r="H153" s="164" t="s">
        <v>12</v>
      </c>
      <c r="I153" s="165"/>
      <c r="J153" s="165"/>
      <c r="K153" s="166"/>
      <c r="L153" s="45">
        <v>0</v>
      </c>
      <c r="M153" s="45">
        <v>0</v>
      </c>
      <c r="N153" s="45">
        <v>0</v>
      </c>
      <c r="O153" s="45">
        <f t="shared" si="78"/>
        <v>0</v>
      </c>
      <c r="P153" s="45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" hidden="1">
      <c r="A154" s="155"/>
      <c r="B154" s="40"/>
      <c r="C154" s="163"/>
      <c r="D154" s="40"/>
      <c r="E154" s="41" t="s">
        <v>37</v>
      </c>
      <c r="F154" s="40"/>
      <c r="G154" s="156"/>
      <c r="H154" s="164" t="s">
        <v>12</v>
      </c>
      <c r="I154" s="165"/>
      <c r="J154" s="165"/>
      <c r="K154" s="166"/>
      <c r="L154" s="45">
        <f ca="1">IFERROR(__xludf.DUMMYFUNCTION("IMPORTRANGE(""https://docs.google.com/spreadsheets/d/1MeEWN-I1oV_STSDYn1IFDPWt_1FKiwhDph83XaGc0o0/edit?usp=sharing"",""งบพรบ!BU82"")"),0)</f>
        <v>0</v>
      </c>
      <c r="M154" s="45">
        <f ca="1">IFERROR(__xludf.DUMMYFUNCTION("IMPORTRANGE(""https://docs.google.com/spreadsheets/d/1MeEWN-I1oV_STSDYn1IFDPWt_1FKiwhDph83XaGc0o0/edit?usp=sharing"",""งบพรบ!BZ82"")"),0)</f>
        <v>0</v>
      </c>
      <c r="N154" s="45">
        <f ca="1">IFERROR(__xludf.DUMMYFUNCTION("IMPORTRANGE(""https://docs.google.com/spreadsheets/d/1MeEWN-I1oV_STSDYn1IFDPWt_1FKiwhDph83XaGc0o0/edit?usp=sharing"",""งบพรบ!CB82"")"),0)</f>
        <v>0</v>
      </c>
      <c r="O154" s="45">
        <f t="shared" ca="1" si="78"/>
        <v>0</v>
      </c>
      <c r="P154" s="45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9" hidden="1">
      <c r="A155" s="158"/>
      <c r="B155" s="33"/>
      <c r="C155" s="159"/>
      <c r="D155" s="34" t="s">
        <v>21</v>
      </c>
      <c r="E155" s="33"/>
      <c r="F155" s="33"/>
      <c r="G155" s="35"/>
      <c r="H155" s="167" t="s">
        <v>12</v>
      </c>
      <c r="I155" s="161"/>
      <c r="J155" s="161"/>
      <c r="K155" s="162"/>
      <c r="L155" s="38">
        <f t="shared" ref="L155:N155" ca="1" si="82">L156+L157</f>
        <v>0</v>
      </c>
      <c r="M155" s="38">
        <f t="shared" ca="1" si="82"/>
        <v>0</v>
      </c>
      <c r="N155" s="38">
        <f t="shared" ca="1" si="82"/>
        <v>0</v>
      </c>
      <c r="O155" s="38">
        <f t="shared" ca="1" si="78"/>
        <v>0</v>
      </c>
      <c r="P155" s="3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" hidden="1">
      <c r="A156" s="155"/>
      <c r="B156" s="40"/>
      <c r="C156" s="163"/>
      <c r="D156" s="40"/>
      <c r="E156" s="41" t="s">
        <v>18</v>
      </c>
      <c r="F156" s="40"/>
      <c r="G156" s="156"/>
      <c r="H156" s="164" t="s">
        <v>12</v>
      </c>
      <c r="I156" s="165"/>
      <c r="J156" s="165"/>
      <c r="K156" s="166"/>
      <c r="L156" s="45">
        <v>0</v>
      </c>
      <c r="M156" s="45">
        <v>0</v>
      </c>
      <c r="N156" s="45">
        <v>0</v>
      </c>
      <c r="O156" s="45">
        <f t="shared" si="78"/>
        <v>0</v>
      </c>
      <c r="P156" s="45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" hidden="1">
      <c r="A157" s="155"/>
      <c r="B157" s="40"/>
      <c r="C157" s="163"/>
      <c r="D157" s="40"/>
      <c r="E157" s="41" t="s">
        <v>19</v>
      </c>
      <c r="F157" s="40"/>
      <c r="G157" s="156"/>
      <c r="H157" s="168" t="s">
        <v>12</v>
      </c>
      <c r="I157" s="165"/>
      <c r="J157" s="165"/>
      <c r="K157" s="166"/>
      <c r="L157" s="45">
        <f ca="1">IFERROR(__xludf.DUMMYFUNCTION("IMPORTRANGE(""https://docs.google.com/spreadsheets/d/1MeEWN-I1oV_STSDYn1IFDPWt_1FKiwhDph83XaGc0o0/edit?usp=sharing"",""งบพรบ!BX82"")"),0)</f>
        <v>0</v>
      </c>
      <c r="M157" s="45">
        <f ca="1">IFERROR(__xludf.DUMMYFUNCTION("IMPORTRANGE(""https://docs.google.com/spreadsheets/d/1MeEWN-I1oV_STSDYn1IFDPWt_1FKiwhDph83XaGc0o0/edit?usp=sharing"",""งบพรบ!CA82"")"),0)</f>
        <v>0</v>
      </c>
      <c r="N157" s="45">
        <f ca="1">IFERROR(__xludf.DUMMYFUNCTION("IMPORTRANGE(""https://docs.google.com/spreadsheets/d/1MeEWN-I1oV_STSDYn1IFDPWt_1FKiwhDph83XaGc0o0/edit?usp=sharing"",""งบพรบ!CC82"")"),0)</f>
        <v>0</v>
      </c>
      <c r="O157" s="45">
        <f t="shared" ca="1" si="78"/>
        <v>0</v>
      </c>
      <c r="P157" s="45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" hidden="1">
      <c r="A158" s="169"/>
      <c r="B158" s="170"/>
      <c r="C158" s="163" t="s">
        <v>16</v>
      </c>
      <c r="D158" s="796" t="s">
        <v>38</v>
      </c>
      <c r="E158" s="172"/>
      <c r="F158" s="172"/>
      <c r="G158" s="173"/>
      <c r="H158" s="167"/>
      <c r="I158" s="37"/>
      <c r="J158" s="37"/>
      <c r="K158" s="38"/>
      <c r="L158" s="38"/>
      <c r="M158" s="38"/>
      <c r="N158" s="38"/>
      <c r="O158" s="38"/>
      <c r="P158" s="38"/>
    </row>
    <row r="159" spans="1:26" ht="19" hidden="1">
      <c r="A159" s="158"/>
      <c r="B159" s="33"/>
      <c r="C159" s="204"/>
      <c r="D159" s="159" t="s">
        <v>78</v>
      </c>
      <c r="E159" s="34"/>
      <c r="F159" s="33"/>
      <c r="G159" s="206"/>
      <c r="H159" s="167" t="s">
        <v>35</v>
      </c>
      <c r="I159" s="37">
        <f ca="1">IFERROR(__xludf.DUMMYFUNCTION("IMPORTRANGE(""https://docs.google.com/spreadsheets/d/1QqKyyYR6Q21VydFLVH3TRQUabQu_ym0Zz7PgGX0-kHA/edit?usp=sharing"",""แผน!X82"")"),0)</f>
        <v>0</v>
      </c>
      <c r="J159" s="181"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" hidden="1">
      <c r="A160" s="155"/>
      <c r="B160" s="40"/>
      <c r="C160" s="163"/>
      <c r="D160" s="41" t="s">
        <v>79</v>
      </c>
      <c r="E160" s="213"/>
      <c r="F160" s="40"/>
      <c r="G160" s="156"/>
      <c r="H160" s="168" t="s">
        <v>35</v>
      </c>
      <c r="I160" s="44"/>
      <c r="J160" s="44"/>
      <c r="K160" s="45"/>
      <c r="L160" s="45"/>
      <c r="M160" s="45"/>
      <c r="N160" s="45"/>
      <c r="O160" s="45"/>
      <c r="P160" s="45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9" hidden="1">
      <c r="A161" s="215"/>
      <c r="B161" s="216"/>
      <c r="C161" s="217"/>
      <c r="D161" s="218" t="s">
        <v>80</v>
      </c>
      <c r="E161" s="798"/>
      <c r="F161" s="216"/>
      <c r="G161" s="220"/>
      <c r="H161" s="221" t="s">
        <v>35</v>
      </c>
      <c r="I161" s="222"/>
      <c r="J161" s="222"/>
      <c r="K161" s="223"/>
      <c r="L161" s="223"/>
      <c r="M161" s="223"/>
      <c r="N161" s="223"/>
      <c r="O161" s="223"/>
      <c r="P161" s="223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9">
      <c r="A162" s="224" t="s">
        <v>81</v>
      </c>
      <c r="B162" s="225"/>
      <c r="C162" s="225"/>
      <c r="D162" s="225"/>
      <c r="E162" s="226"/>
      <c r="F162" s="226"/>
      <c r="G162" s="227"/>
      <c r="H162" s="228"/>
      <c r="I162" s="229"/>
      <c r="J162" s="229"/>
      <c r="K162" s="230"/>
      <c r="L162" s="230"/>
      <c r="M162" s="230"/>
      <c r="N162" s="230"/>
      <c r="O162" s="230"/>
      <c r="P162" s="230"/>
    </row>
    <row r="163" spans="1:26" ht="19">
      <c r="A163" s="231" t="s">
        <v>82</v>
      </c>
      <c r="B163" s="232"/>
      <c r="C163" s="232"/>
      <c r="D163" s="233"/>
      <c r="E163" s="233"/>
      <c r="F163" s="233"/>
      <c r="G163" s="234"/>
      <c r="H163" s="235"/>
      <c r="I163" s="236"/>
      <c r="J163" s="236"/>
      <c r="K163" s="237"/>
      <c r="L163" s="237"/>
      <c r="M163" s="237"/>
      <c r="N163" s="237"/>
      <c r="O163" s="237"/>
      <c r="P163" s="237"/>
    </row>
    <row r="164" spans="1:26" ht="19">
      <c r="A164" s="238"/>
      <c r="B164" s="239" t="s">
        <v>83</v>
      </c>
      <c r="C164" s="240"/>
      <c r="D164" s="172"/>
      <c r="E164" s="172"/>
      <c r="F164" s="172"/>
      <c r="G164" s="173"/>
      <c r="H164" s="241" t="s">
        <v>35</v>
      </c>
      <c r="I164" s="242">
        <f t="shared" ref="I164:J164" ca="1" si="83">I174+I177</f>
        <v>11</v>
      </c>
      <c r="J164" s="242">
        <f t="shared" si="83"/>
        <v>11</v>
      </c>
      <c r="K164" s="243">
        <f ca="1">IF(I164&gt;0,J164*100/I164,0)</f>
        <v>100</v>
      </c>
      <c r="L164" s="244"/>
      <c r="M164" s="244"/>
      <c r="N164" s="244"/>
      <c r="O164" s="244"/>
      <c r="P164" s="244"/>
    </row>
    <row r="165" spans="1:26" ht="19">
      <c r="A165" s="146"/>
      <c r="B165" s="147"/>
      <c r="C165" s="148" t="s">
        <v>16</v>
      </c>
      <c r="D165" s="795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84">L166+L167</f>
        <v>22055</v>
      </c>
      <c r="M165" s="154">
        <f t="shared" ca="1" si="84"/>
        <v>39375</v>
      </c>
      <c r="N165" s="154">
        <f t="shared" ca="1" si="84"/>
        <v>39375</v>
      </c>
      <c r="O165" s="154">
        <f t="shared" ref="O165:O173" ca="1" si="85">IF(L165&gt;0,N165*100/L165,0)</f>
        <v>178.53094536386308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9" hidden="1">
      <c r="A166" s="155"/>
      <c r="B166" s="40"/>
      <c r="C166" s="40"/>
      <c r="D166" s="40"/>
      <c r="E166" s="41" t="s">
        <v>18</v>
      </c>
      <c r="F166" s="40"/>
      <c r="G166" s="156"/>
      <c r="H166" s="157" t="s">
        <v>12</v>
      </c>
      <c r="I166" s="44"/>
      <c r="J166" s="44"/>
      <c r="K166" s="45"/>
      <c r="L166" s="45">
        <f t="shared" ref="L166:N167" si="87">L169+L172</f>
        <v>0</v>
      </c>
      <c r="M166" s="45">
        <f t="shared" si="87"/>
        <v>0</v>
      </c>
      <c r="N166" s="45">
        <f t="shared" si="87"/>
        <v>0</v>
      </c>
      <c r="O166" s="45">
        <f t="shared" si="85"/>
        <v>0</v>
      </c>
      <c r="P166" s="45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9" hidden="1">
      <c r="A167" s="155"/>
      <c r="B167" s="40"/>
      <c r="C167" s="40"/>
      <c r="D167" s="40"/>
      <c r="E167" s="41" t="s">
        <v>19</v>
      </c>
      <c r="F167" s="40"/>
      <c r="G167" s="156"/>
      <c r="H167" s="157" t="s">
        <v>12</v>
      </c>
      <c r="I167" s="44"/>
      <c r="J167" s="44"/>
      <c r="K167" s="45"/>
      <c r="L167" s="45">
        <f t="shared" ca="1" si="87"/>
        <v>22055</v>
      </c>
      <c r="M167" s="45">
        <f t="shared" ca="1" si="87"/>
        <v>39375</v>
      </c>
      <c r="N167" s="45">
        <f t="shared" ca="1" si="87"/>
        <v>39375</v>
      </c>
      <c r="O167" s="45">
        <f t="shared" ca="1" si="85"/>
        <v>178.53094536386308</v>
      </c>
      <c r="P167" s="45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9">
      <c r="A168" s="158"/>
      <c r="B168" s="33"/>
      <c r="C168" s="159"/>
      <c r="D168" s="34" t="s">
        <v>20</v>
      </c>
      <c r="E168" s="33"/>
      <c r="F168" s="33"/>
      <c r="G168" s="35"/>
      <c r="H168" s="160" t="s">
        <v>12</v>
      </c>
      <c r="I168" s="161"/>
      <c r="J168" s="161"/>
      <c r="K168" s="162"/>
      <c r="L168" s="38">
        <f t="shared" ref="L168:N168" ca="1" si="88">L169+L170</f>
        <v>22055</v>
      </c>
      <c r="M168" s="38">
        <f t="shared" ca="1" si="88"/>
        <v>39375</v>
      </c>
      <c r="N168" s="38">
        <f t="shared" ca="1" si="88"/>
        <v>39375</v>
      </c>
      <c r="O168" s="38">
        <f t="shared" ca="1" si="85"/>
        <v>178.53094536386308</v>
      </c>
      <c r="P168" s="3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" hidden="1">
      <c r="A169" s="155"/>
      <c r="B169" s="40"/>
      <c r="C169" s="163"/>
      <c r="D169" s="40"/>
      <c r="E169" s="41" t="s">
        <v>36</v>
      </c>
      <c r="F169" s="40"/>
      <c r="G169" s="156"/>
      <c r="H169" s="164" t="s">
        <v>12</v>
      </c>
      <c r="I169" s="165"/>
      <c r="J169" s="165"/>
      <c r="K169" s="166"/>
      <c r="L169" s="45">
        <v>0</v>
      </c>
      <c r="M169" s="45">
        <v>0</v>
      </c>
      <c r="N169" s="45">
        <v>0</v>
      </c>
      <c r="O169" s="45">
        <f t="shared" si="85"/>
        <v>0</v>
      </c>
      <c r="P169" s="45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" hidden="1">
      <c r="A170" s="155"/>
      <c r="B170" s="40"/>
      <c r="C170" s="163"/>
      <c r="D170" s="40"/>
      <c r="E170" s="41" t="s">
        <v>37</v>
      </c>
      <c r="F170" s="40"/>
      <c r="G170" s="156"/>
      <c r="H170" s="164" t="s">
        <v>12</v>
      </c>
      <c r="I170" s="165"/>
      <c r="J170" s="165"/>
      <c r="K170" s="166"/>
      <c r="L170" s="45">
        <f ca="1">IFERROR(__xludf.DUMMYFUNCTION("IMPORTRANGE(""https://docs.google.com/spreadsheets/d/1MeEWN-I1oV_STSDYn1IFDPWt_1FKiwhDph83XaGc0o0/edit?usp=sharing"",""งบพรบ!CE82"")"),22055)</f>
        <v>22055</v>
      </c>
      <c r="M170" s="45">
        <f ca="1">IFERROR(__xludf.DUMMYFUNCTION("IMPORTRANGE(""https://docs.google.com/spreadsheets/d/1MeEWN-I1oV_STSDYn1IFDPWt_1FKiwhDph83XaGc0o0/edit?usp=sharing"",""งบพรบ!CJ82"")"),39375)</f>
        <v>39375</v>
      </c>
      <c r="N170" s="45">
        <f ca="1">IFERROR(__xludf.DUMMYFUNCTION("IMPORTRANGE(""https://docs.google.com/spreadsheets/d/1MeEWN-I1oV_STSDYn1IFDPWt_1FKiwhDph83XaGc0o0/edit?usp=sharing"",""งบพรบ!CL82"")"),39375)</f>
        <v>39375</v>
      </c>
      <c r="O170" s="45">
        <f t="shared" ca="1" si="85"/>
        <v>178.53094536386308</v>
      </c>
      <c r="P170" s="45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9">
      <c r="A171" s="158"/>
      <c r="B171" s="33"/>
      <c r="C171" s="159"/>
      <c r="D171" s="34" t="s">
        <v>21</v>
      </c>
      <c r="E171" s="33"/>
      <c r="F171" s="33"/>
      <c r="G171" s="35"/>
      <c r="H171" s="167" t="s">
        <v>12</v>
      </c>
      <c r="I171" s="161"/>
      <c r="J171" s="161"/>
      <c r="K171" s="162"/>
      <c r="L171" s="38">
        <f t="shared" ref="L171:N171" ca="1" si="89">L172+L173</f>
        <v>0</v>
      </c>
      <c r="M171" s="38">
        <f t="shared" ca="1" si="89"/>
        <v>0</v>
      </c>
      <c r="N171" s="38">
        <f t="shared" ca="1" si="89"/>
        <v>0</v>
      </c>
      <c r="O171" s="38">
        <f t="shared" ca="1" si="85"/>
        <v>0</v>
      </c>
      <c r="P171" s="3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" hidden="1">
      <c r="A172" s="155"/>
      <c r="B172" s="40"/>
      <c r="C172" s="163"/>
      <c r="D172" s="40"/>
      <c r="E172" s="41" t="s">
        <v>18</v>
      </c>
      <c r="F172" s="40"/>
      <c r="G172" s="156"/>
      <c r="H172" s="164" t="s">
        <v>12</v>
      </c>
      <c r="I172" s="165"/>
      <c r="J172" s="165"/>
      <c r="K172" s="166"/>
      <c r="L172" s="45">
        <v>0</v>
      </c>
      <c r="M172" s="45">
        <v>0</v>
      </c>
      <c r="N172" s="45">
        <v>0</v>
      </c>
      <c r="O172" s="45">
        <f t="shared" si="85"/>
        <v>0</v>
      </c>
      <c r="P172" s="45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" hidden="1">
      <c r="A173" s="155"/>
      <c r="B173" s="40"/>
      <c r="C173" s="163"/>
      <c r="D173" s="40"/>
      <c r="E173" s="41" t="s">
        <v>19</v>
      </c>
      <c r="F173" s="40"/>
      <c r="G173" s="156"/>
      <c r="H173" s="168" t="s">
        <v>12</v>
      </c>
      <c r="I173" s="165"/>
      <c r="J173" s="165"/>
      <c r="K173" s="166"/>
      <c r="L173" s="45">
        <f ca="1">IFERROR(__xludf.DUMMYFUNCTION("IMPORTRANGE(""https://docs.google.com/spreadsheets/d/1MeEWN-I1oV_STSDYn1IFDPWt_1FKiwhDph83XaGc0o0/edit?usp=sharing"",""งบพรบ!CH82"")"),0)</f>
        <v>0</v>
      </c>
      <c r="M173" s="45">
        <f ca="1">IFERROR(__xludf.DUMMYFUNCTION("IMPORTRANGE(""https://docs.google.com/spreadsheets/d/1MeEWN-I1oV_STSDYn1IFDPWt_1FKiwhDph83XaGc0o0/edit?usp=sharing"",""งบพรบ!CK82"")"),0)</f>
        <v>0</v>
      </c>
      <c r="N173" s="45">
        <f ca="1">IFERROR(__xludf.DUMMYFUNCTION("IMPORTRANGE(""https://docs.google.com/spreadsheets/d/1MeEWN-I1oV_STSDYn1IFDPWt_1FKiwhDph83XaGc0o0/edit?usp=sharing"",""งบพรบ!CM82"")"),0)</f>
        <v>0</v>
      </c>
      <c r="O173" s="45">
        <f t="shared" ca="1" si="85"/>
        <v>0</v>
      </c>
      <c r="P173" s="45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">
      <c r="A174" s="245"/>
      <c r="B174" s="246"/>
      <c r="C174" s="247" t="s">
        <v>84</v>
      </c>
      <c r="D174" s="246"/>
      <c r="E174" s="246"/>
      <c r="F174" s="246"/>
      <c r="G174" s="248"/>
      <c r="H174" s="249" t="s">
        <v>35</v>
      </c>
      <c r="I174" s="250">
        <f t="shared" ref="I174:J174" ca="1" si="90">I176</f>
        <v>11</v>
      </c>
      <c r="J174" s="250">
        <f t="shared" si="90"/>
        <v>11</v>
      </c>
      <c r="K174" s="251">
        <f ca="1">IF(I174&gt;0,J174*100/I174,0)</f>
        <v>100</v>
      </c>
      <c r="L174" s="251"/>
      <c r="M174" s="251"/>
      <c r="N174" s="251"/>
      <c r="O174" s="251"/>
      <c r="P174" s="251"/>
    </row>
    <row r="175" spans="1:26" ht="19">
      <c r="A175" s="169"/>
      <c r="B175" s="170"/>
      <c r="C175" s="163" t="s">
        <v>16</v>
      </c>
      <c r="D175" s="796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19">
      <c r="A176" s="169"/>
      <c r="B176" s="170"/>
      <c r="C176" s="170"/>
      <c r="D176" s="252" t="s">
        <v>85</v>
      </c>
      <c r="E176" s="177"/>
      <c r="F176" s="177"/>
      <c r="G176" s="178"/>
      <c r="H176" s="36" t="s">
        <v>35</v>
      </c>
      <c r="I176" s="37">
        <f ca="1">IFERROR(__xludf.DUMMYFUNCTION("IMPORTRANGE(""https://docs.google.com/spreadsheets/d/1QqKyyYR6Q21VydFLVH3TRQUabQu_ym0Zz7PgGX0-kHA/edit?usp=sharing"",""แผน!Y82"")"),11)</f>
        <v>11</v>
      </c>
      <c r="J176" s="181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" hidden="1">
      <c r="A177" s="245"/>
      <c r="B177" s="253"/>
      <c r="C177" s="254" t="s">
        <v>86</v>
      </c>
      <c r="D177" s="253"/>
      <c r="E177" s="246"/>
      <c r="F177" s="246"/>
      <c r="G177" s="248"/>
      <c r="H177" s="255" t="s">
        <v>35</v>
      </c>
      <c r="I177" s="250"/>
      <c r="J177" s="250">
        <f>J179</f>
        <v>0</v>
      </c>
      <c r="K177" s="251"/>
      <c r="L177" s="251"/>
      <c r="M177" s="251"/>
      <c r="N177" s="251"/>
      <c r="O177" s="251"/>
      <c r="P177" s="251"/>
    </row>
    <row r="178" spans="1:26" ht="19" hidden="1">
      <c r="A178" s="169"/>
      <c r="B178" s="170"/>
      <c r="C178" s="163" t="s">
        <v>16</v>
      </c>
      <c r="D178" s="25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19" hidden="1">
      <c r="A179" s="169"/>
      <c r="B179" s="170"/>
      <c r="C179" s="170"/>
      <c r="D179" s="257" t="s">
        <v>87</v>
      </c>
      <c r="E179" s="177"/>
      <c r="F179" s="258"/>
      <c r="G179" s="178"/>
      <c r="H179" s="43" t="s">
        <v>35</v>
      </c>
      <c r="I179" s="37"/>
      <c r="J179" s="37"/>
      <c r="K179" s="162"/>
      <c r="L179" s="162"/>
      <c r="M179" s="162"/>
      <c r="N179" s="162"/>
      <c r="O179" s="162"/>
      <c r="P179" s="162"/>
    </row>
    <row r="180" spans="1:26" ht="19">
      <c r="A180" s="238"/>
      <c r="B180" s="239" t="s">
        <v>88</v>
      </c>
      <c r="C180" s="240"/>
      <c r="D180" s="172"/>
      <c r="E180" s="172"/>
      <c r="F180" s="172"/>
      <c r="G180" s="173"/>
      <c r="H180" s="241" t="s">
        <v>35</v>
      </c>
      <c r="I180" s="242">
        <f t="shared" ref="I180:J180" ca="1" si="91">I225+I226</f>
        <v>0</v>
      </c>
      <c r="J180" s="242">
        <f t="shared" si="91"/>
        <v>0</v>
      </c>
      <c r="K180" s="243">
        <f ca="1">IF(I180&gt;0,J180*100/I180,0)</f>
        <v>0</v>
      </c>
      <c r="L180" s="244"/>
      <c r="M180" s="244"/>
      <c r="N180" s="244"/>
      <c r="O180" s="244"/>
      <c r="P180" s="244"/>
    </row>
    <row r="181" spans="1:26" ht="19">
      <c r="A181" s="146"/>
      <c r="B181" s="147"/>
      <c r="C181" s="148" t="s">
        <v>16</v>
      </c>
      <c r="D181" s="795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92">L182+L183</f>
        <v>38500</v>
      </c>
      <c r="M181" s="154">
        <f t="shared" ca="1" si="92"/>
        <v>57440</v>
      </c>
      <c r="N181" s="154">
        <f t="shared" ca="1" si="92"/>
        <v>48938</v>
      </c>
      <c r="O181" s="154">
        <f t="shared" ref="O181:O189" ca="1" si="93">IF(L181&gt;0,N181*100/L181,0)</f>
        <v>127.11168831168831</v>
      </c>
      <c r="P181" s="154">
        <f t="shared" ref="P181:P189" ca="1" si="94">IF(M181&gt;0,N181*100/M181,0)</f>
        <v>85.198467966573816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9" hidden="1">
      <c r="A182" s="155"/>
      <c r="B182" s="40"/>
      <c r="C182" s="40"/>
      <c r="D182" s="40"/>
      <c r="E182" s="41" t="s">
        <v>18</v>
      </c>
      <c r="F182" s="40"/>
      <c r="G182" s="156"/>
      <c r="H182" s="157" t="s">
        <v>12</v>
      </c>
      <c r="I182" s="44"/>
      <c r="J182" s="44"/>
      <c r="K182" s="45"/>
      <c r="L182" s="45">
        <f t="shared" ref="L182:N183" si="95">L185+L188</f>
        <v>0</v>
      </c>
      <c r="M182" s="45">
        <f t="shared" si="95"/>
        <v>0</v>
      </c>
      <c r="N182" s="45">
        <f t="shared" si="95"/>
        <v>0</v>
      </c>
      <c r="O182" s="45">
        <f t="shared" si="93"/>
        <v>0</v>
      </c>
      <c r="P182" s="45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9" hidden="1">
      <c r="A183" s="155"/>
      <c r="B183" s="40"/>
      <c r="C183" s="40"/>
      <c r="D183" s="40"/>
      <c r="E183" s="41" t="s">
        <v>19</v>
      </c>
      <c r="F183" s="40"/>
      <c r="G183" s="156"/>
      <c r="H183" s="157" t="s">
        <v>12</v>
      </c>
      <c r="I183" s="44"/>
      <c r="J183" s="44"/>
      <c r="K183" s="45"/>
      <c r="L183" s="45">
        <f t="shared" ca="1" si="95"/>
        <v>38500</v>
      </c>
      <c r="M183" s="45">
        <f t="shared" ca="1" si="95"/>
        <v>57440</v>
      </c>
      <c r="N183" s="45">
        <f t="shared" ca="1" si="95"/>
        <v>48938</v>
      </c>
      <c r="O183" s="45">
        <f t="shared" ca="1" si="93"/>
        <v>127.11168831168831</v>
      </c>
      <c r="P183" s="45">
        <f t="shared" ca="1" si="94"/>
        <v>85.198467966573816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9">
      <c r="A184" s="158"/>
      <c r="B184" s="33"/>
      <c r="C184" s="159"/>
      <c r="D184" s="34" t="s">
        <v>20</v>
      </c>
      <c r="E184" s="33"/>
      <c r="F184" s="33"/>
      <c r="G184" s="35"/>
      <c r="H184" s="160" t="s">
        <v>12</v>
      </c>
      <c r="I184" s="161"/>
      <c r="J184" s="161"/>
      <c r="K184" s="162"/>
      <c r="L184" s="38">
        <f t="shared" ref="L184:N184" ca="1" si="96">L185+L186</f>
        <v>38500</v>
      </c>
      <c r="M184" s="38">
        <f t="shared" ca="1" si="96"/>
        <v>57440</v>
      </c>
      <c r="N184" s="38">
        <f t="shared" ca="1" si="96"/>
        <v>48938</v>
      </c>
      <c r="O184" s="38">
        <f t="shared" ca="1" si="93"/>
        <v>127.11168831168831</v>
      </c>
      <c r="P184" s="38">
        <f t="shared" ca="1" si="94"/>
        <v>85.198467966573816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" hidden="1">
      <c r="A185" s="155"/>
      <c r="B185" s="40"/>
      <c r="C185" s="163"/>
      <c r="D185" s="40"/>
      <c r="E185" s="41" t="s">
        <v>36</v>
      </c>
      <c r="F185" s="40"/>
      <c r="G185" s="156"/>
      <c r="H185" s="164" t="s">
        <v>12</v>
      </c>
      <c r="I185" s="165"/>
      <c r="J185" s="165"/>
      <c r="K185" s="166"/>
      <c r="L185" s="45">
        <v>0</v>
      </c>
      <c r="M185" s="45">
        <v>0</v>
      </c>
      <c r="N185" s="45">
        <v>0</v>
      </c>
      <c r="O185" s="45">
        <f t="shared" si="93"/>
        <v>0</v>
      </c>
      <c r="P185" s="45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" hidden="1">
      <c r="A186" s="155"/>
      <c r="B186" s="40"/>
      <c r="C186" s="163"/>
      <c r="D186" s="40"/>
      <c r="E186" s="41" t="s">
        <v>37</v>
      </c>
      <c r="F186" s="40"/>
      <c r="G186" s="156"/>
      <c r="H186" s="164" t="s">
        <v>12</v>
      </c>
      <c r="I186" s="165"/>
      <c r="J186" s="165"/>
      <c r="K186" s="166"/>
      <c r="L186" s="45">
        <f ca="1">IFERROR(__xludf.DUMMYFUNCTION("IMPORTRANGE(""https://docs.google.com/spreadsheets/d/1MeEWN-I1oV_STSDYn1IFDPWt_1FKiwhDph83XaGc0o0/edit?usp=sharing"",""งบพรบ!CO82"")"),38500)</f>
        <v>38500</v>
      </c>
      <c r="M186" s="45">
        <f ca="1">IFERROR(__xludf.DUMMYFUNCTION("IMPORTRANGE(""https://docs.google.com/spreadsheets/d/1MeEWN-I1oV_STSDYn1IFDPWt_1FKiwhDph83XaGc0o0/edit?usp=sharing"",""งบพรบ!CT82"")"),57440)</f>
        <v>57440</v>
      </c>
      <c r="N186" s="45">
        <f ca="1">IFERROR(__xludf.DUMMYFUNCTION("IMPORTRANGE(""https://docs.google.com/spreadsheets/d/1MeEWN-I1oV_STSDYn1IFDPWt_1FKiwhDph83XaGc0o0/edit?usp=sharing"",""งบพรบ!CV82"")"),48938)</f>
        <v>48938</v>
      </c>
      <c r="O186" s="45">
        <f t="shared" ca="1" si="93"/>
        <v>127.11168831168831</v>
      </c>
      <c r="P186" s="45">
        <f t="shared" ca="1" si="94"/>
        <v>85.198467966573816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9">
      <c r="A187" s="158"/>
      <c r="B187" s="33"/>
      <c r="C187" s="159"/>
      <c r="D187" s="34" t="s">
        <v>21</v>
      </c>
      <c r="E187" s="33"/>
      <c r="F187" s="33"/>
      <c r="G187" s="35"/>
      <c r="H187" s="167" t="s">
        <v>12</v>
      </c>
      <c r="I187" s="161"/>
      <c r="J187" s="161"/>
      <c r="K187" s="162"/>
      <c r="L187" s="38">
        <f t="shared" ref="L187:N187" ca="1" si="97">L188+L189</f>
        <v>0</v>
      </c>
      <c r="M187" s="38">
        <f t="shared" ca="1" si="97"/>
        <v>0</v>
      </c>
      <c r="N187" s="38">
        <f t="shared" ca="1" si="97"/>
        <v>0</v>
      </c>
      <c r="O187" s="38">
        <f t="shared" ca="1" si="93"/>
        <v>0</v>
      </c>
      <c r="P187" s="3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" hidden="1">
      <c r="A188" s="155"/>
      <c r="B188" s="40"/>
      <c r="C188" s="163"/>
      <c r="D188" s="40"/>
      <c r="E188" s="41" t="s">
        <v>18</v>
      </c>
      <c r="F188" s="40"/>
      <c r="G188" s="156"/>
      <c r="H188" s="164" t="s">
        <v>12</v>
      </c>
      <c r="I188" s="165"/>
      <c r="J188" s="165"/>
      <c r="K188" s="166"/>
      <c r="L188" s="45">
        <v>0</v>
      </c>
      <c r="M188" s="45">
        <v>0</v>
      </c>
      <c r="N188" s="45">
        <v>0</v>
      </c>
      <c r="O188" s="45">
        <f t="shared" si="93"/>
        <v>0</v>
      </c>
      <c r="P188" s="45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" hidden="1">
      <c r="A189" s="155"/>
      <c r="B189" s="40"/>
      <c r="C189" s="163"/>
      <c r="D189" s="40"/>
      <c r="E189" s="41" t="s">
        <v>19</v>
      </c>
      <c r="F189" s="40"/>
      <c r="G189" s="156"/>
      <c r="H189" s="168" t="s">
        <v>12</v>
      </c>
      <c r="I189" s="165"/>
      <c r="J189" s="165"/>
      <c r="K189" s="166"/>
      <c r="L189" s="45">
        <f ca="1">IFERROR(__xludf.DUMMYFUNCTION("IMPORTRANGE(""https://docs.google.com/spreadsheets/d/1MeEWN-I1oV_STSDYn1IFDPWt_1FKiwhDph83XaGc0o0/edit?usp=sharing"",""งบพรบ!CR82"")"),0)</f>
        <v>0</v>
      </c>
      <c r="M189" s="45">
        <f ca="1">IFERROR(__xludf.DUMMYFUNCTION("IMPORTRANGE(""https://docs.google.com/spreadsheets/d/1MeEWN-I1oV_STSDYn1IFDPWt_1FKiwhDph83XaGc0o0/edit?usp=sharing"",""งบพรบ!CU82"")"),0)</f>
        <v>0</v>
      </c>
      <c r="N189" s="45">
        <f ca="1">IFERROR(__xludf.DUMMYFUNCTION("IMPORTRANGE(""https://docs.google.com/spreadsheets/d/1MeEWN-I1oV_STSDYn1IFDPWt_1FKiwhDph83XaGc0o0/edit?usp=sharing"",""งบพรบ!CW82"")"),0)</f>
        <v>0</v>
      </c>
      <c r="O189" s="45">
        <f t="shared" ca="1" si="93"/>
        <v>0</v>
      </c>
      <c r="P189" s="45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">
      <c r="A190" s="245"/>
      <c r="B190" s="253"/>
      <c r="C190" s="259" t="s">
        <v>89</v>
      </c>
      <c r="D190" s="246"/>
      <c r="E190" s="246"/>
      <c r="F190" s="246"/>
      <c r="G190" s="248"/>
      <c r="H190" s="249" t="s">
        <v>90</v>
      </c>
      <c r="I190" s="260">
        <f t="shared" ref="I190:J190" ca="1" si="98">I193</f>
        <v>4</v>
      </c>
      <c r="J190" s="260">
        <f t="shared" si="98"/>
        <v>1</v>
      </c>
      <c r="K190" s="261">
        <f ca="1">IF(I190&gt;0,J190*100/I190,0)</f>
        <v>25</v>
      </c>
      <c r="L190" s="251"/>
      <c r="M190" s="251"/>
      <c r="N190" s="251"/>
      <c r="O190" s="251"/>
      <c r="P190" s="251"/>
    </row>
    <row r="191" spans="1:26" ht="19">
      <c r="A191" s="146"/>
      <c r="B191" s="147"/>
      <c r="C191" s="148" t="s">
        <v>16</v>
      </c>
      <c r="D191" s="800" t="s">
        <v>17</v>
      </c>
      <c r="E191" s="147"/>
      <c r="F191" s="147"/>
      <c r="G191" s="150"/>
      <c r="H191" s="263" t="s">
        <v>12</v>
      </c>
      <c r="I191" s="152"/>
      <c r="J191" s="152"/>
      <c r="K191" s="153"/>
      <c r="L191" s="154">
        <f ca="1">IFERROR(__xludf.DUMMYFUNCTION("IMPORTRANGE(""https://docs.google.com/spreadsheets/d/1QqKyyYR6Q21VydFLVH3TRQUabQu_ym0Zz7PgGX0-kHA/edit?usp=sharing"",""แผน!Z82"")"),6000)</f>
        <v>6000</v>
      </c>
      <c r="M191" s="154"/>
      <c r="N191" s="264">
        <v>4500</v>
      </c>
      <c r="O191" s="154">
        <f ca="1">IF(L191&gt;0,N191*100/L191,0)</f>
        <v>75</v>
      </c>
      <c r="P191" s="154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">
      <c r="A192" s="169"/>
      <c r="B192" s="170"/>
      <c r="C192" s="204" t="s">
        <v>16</v>
      </c>
      <c r="D192" s="796" t="s">
        <v>38</v>
      </c>
      <c r="E192" s="172"/>
      <c r="F192" s="172"/>
      <c r="G192" s="173"/>
      <c r="H192" s="174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9">
      <c r="A193" s="169"/>
      <c r="B193" s="170"/>
      <c r="C193" s="170"/>
      <c r="D193" s="176" t="s">
        <v>91</v>
      </c>
      <c r="E193" s="177"/>
      <c r="F193" s="177"/>
      <c r="G193" s="178"/>
      <c r="H193" s="180" t="s">
        <v>90</v>
      </c>
      <c r="I193" s="37">
        <f ca="1">IFERROR(__xludf.DUMMYFUNCTION("IMPORTRANGE(""https://docs.google.com/spreadsheets/d/1QqKyyYR6Q21VydFLVH3TRQUabQu_ym0Zz7PgGX0-kHA/edit?usp=sharing"",""แผน!AC82"")"),4)</f>
        <v>4</v>
      </c>
      <c r="J193" s="181">
        <v>1</v>
      </c>
      <c r="K193" s="38">
        <f ca="1">IF(I193&gt;0,J193*100/I193,0)</f>
        <v>25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9">
      <c r="A194" s="169"/>
      <c r="B194" s="170"/>
      <c r="C194" s="170"/>
      <c r="D194" s="176" t="s">
        <v>92</v>
      </c>
      <c r="E194" s="177"/>
      <c r="F194" s="177"/>
      <c r="G194" s="178"/>
      <c r="H194" s="265" t="s">
        <v>35</v>
      </c>
      <c r="I194" s="37"/>
      <c r="J194" s="37">
        <f>J195+J196</f>
        <v>34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9">
      <c r="A195" s="169"/>
      <c r="B195" s="170"/>
      <c r="C195" s="170"/>
      <c r="D195" s="170"/>
      <c r="E195" s="176" t="s">
        <v>93</v>
      </c>
      <c r="F195" s="177"/>
      <c r="G195" s="178"/>
      <c r="H195" s="265" t="s">
        <v>35</v>
      </c>
      <c r="I195" s="37"/>
      <c r="J195" s="181">
        <v>34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9">
      <c r="A196" s="169"/>
      <c r="B196" s="170"/>
      <c r="C196" s="170"/>
      <c r="D196" s="170"/>
      <c r="E196" s="176" t="s">
        <v>94</v>
      </c>
      <c r="F196" s="177"/>
      <c r="G196" s="178"/>
      <c r="H196" s="265" t="s">
        <v>35</v>
      </c>
      <c r="I196" s="37"/>
      <c r="J196" s="181"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">
      <c r="A197" s="245"/>
      <c r="B197" s="253"/>
      <c r="C197" s="259" t="s">
        <v>95</v>
      </c>
      <c r="D197" s="246"/>
      <c r="E197" s="246"/>
      <c r="F197" s="246"/>
      <c r="G197" s="248"/>
      <c r="H197" s="266" t="s">
        <v>96</v>
      </c>
      <c r="I197" s="260">
        <f t="shared" ref="I197:J197" ca="1" si="99">I204</f>
        <v>2</v>
      </c>
      <c r="J197" s="260">
        <f t="shared" si="99"/>
        <v>2</v>
      </c>
      <c r="K197" s="261">
        <f ca="1">IF(I197&gt;0,J197*100/I197,0)</f>
        <v>100</v>
      </c>
      <c r="L197" s="251"/>
      <c r="M197" s="251"/>
      <c r="N197" s="251"/>
      <c r="O197" s="251"/>
      <c r="P197" s="251"/>
    </row>
    <row r="198" spans="1:26" ht="19">
      <c r="A198" s="146"/>
      <c r="B198" s="147"/>
      <c r="C198" s="148" t="s">
        <v>16</v>
      </c>
      <c r="D198" s="800" t="s">
        <v>17</v>
      </c>
      <c r="E198" s="147"/>
      <c r="F198" s="147"/>
      <c r="G198" s="150"/>
      <c r="H198" s="263" t="s">
        <v>12</v>
      </c>
      <c r="I198" s="267"/>
      <c r="J198" s="267"/>
      <c r="K198" s="268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9">
      <c r="A199" s="158"/>
      <c r="B199" s="269"/>
      <c r="C199" s="33"/>
      <c r="D199" s="159" t="s">
        <v>97</v>
      </c>
      <c r="E199" s="33"/>
      <c r="F199" s="33"/>
      <c r="G199" s="35"/>
      <c r="H199" s="160" t="s">
        <v>12</v>
      </c>
      <c r="I199" s="161"/>
      <c r="J199" s="161"/>
      <c r="K199" s="162"/>
      <c r="L199" s="38">
        <f ca="1">IFERROR(__xludf.DUMMYFUNCTION("IMPORTRANGE(""https://docs.google.com/spreadsheets/d/1QqKyyYR6Q21VydFLVH3TRQUabQu_ym0Zz7PgGX0-kHA/edit?usp=sharing"",""แผน!AE82"")"),2000)</f>
        <v>2000</v>
      </c>
      <c r="M199" s="38"/>
      <c r="N199" s="270">
        <v>856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">
      <c r="A200" s="271"/>
      <c r="B200" s="269"/>
      <c r="C200" s="204"/>
      <c r="D200" s="159" t="s">
        <v>98</v>
      </c>
      <c r="E200" s="33"/>
      <c r="F200" s="33"/>
      <c r="G200" s="35"/>
      <c r="H200" s="36" t="s">
        <v>12</v>
      </c>
      <c r="I200" s="37"/>
      <c r="J200" s="37"/>
      <c r="K200" s="38"/>
      <c r="L200" s="38">
        <f ca="1">IFERROR(__xludf.DUMMYFUNCTION("IMPORTRANGE(""https://docs.google.com/spreadsheets/d/1QqKyyYR6Q21VydFLVH3TRQUabQu_ym0Zz7PgGX0-kHA/edit?usp=sharing"",""แผน!AF82"")"),16000)</f>
        <v>16000</v>
      </c>
      <c r="M200" s="38"/>
      <c r="N200" s="270">
        <v>17144</v>
      </c>
      <c r="O200" s="38"/>
      <c r="P200" s="38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ht="19">
      <c r="A201" s="271"/>
      <c r="B201" s="269"/>
      <c r="C201" s="204"/>
      <c r="D201" s="159" t="s">
        <v>99</v>
      </c>
      <c r="E201" s="33"/>
      <c r="F201" s="33"/>
      <c r="G201" s="35"/>
      <c r="H201" s="36" t="s">
        <v>12</v>
      </c>
      <c r="I201" s="37"/>
      <c r="J201" s="37"/>
      <c r="K201" s="38"/>
      <c r="L201" s="38">
        <f ca="1">IFERROR(__xludf.DUMMYFUNCTION("IMPORTRANGE(""https://docs.google.com/spreadsheets/d/1QqKyyYR6Q21VydFLVH3TRQUabQu_ym0Zz7PgGX0-kHA/edit?usp=sharing"",""แผน!AG82"")"),8000)</f>
        <v>8000</v>
      </c>
      <c r="M201" s="38"/>
      <c r="N201" s="270">
        <v>8000</v>
      </c>
      <c r="O201" s="38"/>
      <c r="P201" s="38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ht="19">
      <c r="A202" s="271"/>
      <c r="B202" s="269"/>
      <c r="C202" s="204"/>
      <c r="D202" s="159" t="s">
        <v>100</v>
      </c>
      <c r="E202" s="33"/>
      <c r="F202" s="33"/>
      <c r="G202" s="35"/>
      <c r="H202" s="36" t="s">
        <v>12</v>
      </c>
      <c r="I202" s="37"/>
      <c r="J202" s="37"/>
      <c r="K202" s="38"/>
      <c r="L202" s="38">
        <f ca="1">IFERROR(__xludf.DUMMYFUNCTION("IMPORTRANGE(""https://docs.google.com/spreadsheets/d/1QqKyyYR6Q21VydFLVH3TRQUabQu_ym0Zz7PgGX0-kHA/edit?usp=sharing"",""แผน!AH82"")"),0)</f>
        <v>0</v>
      </c>
      <c r="M202" s="38"/>
      <c r="N202" s="270">
        <v>0</v>
      </c>
      <c r="O202" s="38"/>
      <c r="P202" s="38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ht="19">
      <c r="A203" s="169"/>
      <c r="B203" s="170"/>
      <c r="C203" s="204" t="s">
        <v>16</v>
      </c>
      <c r="D203" s="796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9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37">
        <f ca="1">IFERROR(__xludf.DUMMYFUNCTION("IMPORTRANGE(""https://docs.google.com/spreadsheets/d/1QqKyyYR6Q21VydFLVH3TRQUabQu_ym0Zz7PgGX0-kHA/edit?usp=sharing"",""แผน!AI82"")"),2)</f>
        <v>2</v>
      </c>
      <c r="J204" s="181">
        <v>2</v>
      </c>
      <c r="K204" s="162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9">
      <c r="A205" s="169"/>
      <c r="B205" s="170"/>
      <c r="C205" s="170"/>
      <c r="D205" s="176" t="s">
        <v>59</v>
      </c>
      <c r="E205" s="177"/>
      <c r="F205" s="177"/>
      <c r="G205" s="178"/>
      <c r="H205" s="174"/>
      <c r="I205" s="37"/>
      <c r="J205" s="37"/>
      <c r="K205" s="162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9">
      <c r="A206" s="169"/>
      <c r="B206" s="170"/>
      <c r="C206" s="170"/>
      <c r="D206" s="177"/>
      <c r="E206" s="193" t="s">
        <v>102</v>
      </c>
      <c r="F206" s="273"/>
      <c r="G206" s="274"/>
      <c r="H206" s="275" t="s">
        <v>96</v>
      </c>
      <c r="I206" s="37">
        <v>2</v>
      </c>
      <c r="J206" s="181">
        <v>2</v>
      </c>
      <c r="K206" s="162">
        <f t="shared" ref="K206:K208" si="100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9">
      <c r="A207" s="169"/>
      <c r="B207" s="170"/>
      <c r="C207" s="170"/>
      <c r="D207" s="176"/>
      <c r="E207" s="176" t="s">
        <v>103</v>
      </c>
      <c r="F207" s="177"/>
      <c r="G207" s="177"/>
      <c r="H207" s="276" t="s">
        <v>104</v>
      </c>
      <c r="I207" s="37">
        <v>0</v>
      </c>
      <c r="J207" s="181">
        <v>0</v>
      </c>
      <c r="K207" s="162">
        <f t="shared" si="100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" hidden="1">
      <c r="A208" s="245"/>
      <c r="B208" s="253"/>
      <c r="C208" s="259" t="s">
        <v>105</v>
      </c>
      <c r="D208" s="246"/>
      <c r="E208" s="246"/>
      <c r="F208" s="277"/>
      <c r="G208" s="248"/>
      <c r="H208" s="266" t="s">
        <v>96</v>
      </c>
      <c r="I208" s="260">
        <f t="shared" ref="I208:J208" ca="1" si="101">I215</f>
        <v>0</v>
      </c>
      <c r="J208" s="260">
        <f t="shared" si="101"/>
        <v>0</v>
      </c>
      <c r="K208" s="261">
        <f t="shared" ca="1" si="100"/>
        <v>0</v>
      </c>
      <c r="L208" s="251"/>
      <c r="M208" s="251"/>
      <c r="N208" s="251"/>
      <c r="O208" s="251"/>
      <c r="P208" s="251"/>
    </row>
    <row r="209" spans="1:26" ht="19" hidden="1">
      <c r="A209" s="146"/>
      <c r="B209" s="147"/>
      <c r="C209" s="148" t="s">
        <v>16</v>
      </c>
      <c r="D209" s="800" t="s">
        <v>17</v>
      </c>
      <c r="E209" s="147"/>
      <c r="F209" s="147"/>
      <c r="G209" s="150"/>
      <c r="H209" s="263" t="s">
        <v>12</v>
      </c>
      <c r="I209" s="267"/>
      <c r="J209" s="267"/>
      <c r="K209" s="268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9" hidden="1">
      <c r="A210" s="158"/>
      <c r="B210" s="269"/>
      <c r="C210" s="33"/>
      <c r="D210" s="159" t="s">
        <v>97</v>
      </c>
      <c r="E210" s="33"/>
      <c r="F210" s="33"/>
      <c r="G210" s="35"/>
      <c r="H210" s="160" t="s">
        <v>12</v>
      </c>
      <c r="I210" s="161"/>
      <c r="J210" s="161"/>
      <c r="K210" s="162"/>
      <c r="L210" s="38">
        <f ca="1">IFERROR(__xludf.DUMMYFUNCTION("IMPORTRANGE(""https://docs.google.com/spreadsheets/d/1QqKyyYR6Q21VydFLVH3TRQUabQu_ym0Zz7PgGX0-kHA/edit?usp=sharing"",""แผน!AK82"")"),0)</f>
        <v>0</v>
      </c>
      <c r="M210" s="38"/>
      <c r="N210" s="270"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" hidden="1">
      <c r="A211" s="271"/>
      <c r="B211" s="269"/>
      <c r="C211" s="278"/>
      <c r="D211" s="159" t="s">
        <v>99</v>
      </c>
      <c r="E211" s="33"/>
      <c r="F211" s="33"/>
      <c r="G211" s="35"/>
      <c r="H211" s="160" t="s">
        <v>12</v>
      </c>
      <c r="I211" s="37"/>
      <c r="J211" s="37"/>
      <c r="K211" s="38"/>
      <c r="L211" s="38">
        <f ca="1">IFERROR(__xludf.DUMMYFUNCTION("IMPORTRANGE(""https://docs.google.com/spreadsheets/d/1QqKyyYR6Q21VydFLVH3TRQUabQu_ym0Zz7PgGX0-kHA/edit?usp=sharing"",""แผน!AL82"")"),0)</f>
        <v>0</v>
      </c>
      <c r="M211" s="38"/>
      <c r="N211" s="270">
        <v>0</v>
      </c>
      <c r="O211" s="38"/>
      <c r="P211" s="38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ht="19" hidden="1">
      <c r="A212" s="271"/>
      <c r="B212" s="269"/>
      <c r="C212" s="278"/>
      <c r="D212" s="159" t="s">
        <v>98</v>
      </c>
      <c r="E212" s="33"/>
      <c r="F212" s="33"/>
      <c r="G212" s="35"/>
      <c r="H212" s="160" t="s">
        <v>12</v>
      </c>
      <c r="I212" s="37"/>
      <c r="J212" s="37"/>
      <c r="K212" s="38"/>
      <c r="L212" s="38">
        <f ca="1">IFERROR(__xludf.DUMMYFUNCTION("IMPORTRANGE(""https://docs.google.com/spreadsheets/d/1QqKyyYR6Q21VydFLVH3TRQUabQu_ym0Zz7PgGX0-kHA/edit?usp=sharing"",""แผน!AM82"")"),0)</f>
        <v>0</v>
      </c>
      <c r="M212" s="38"/>
      <c r="N212" s="270">
        <v>0</v>
      </c>
      <c r="O212" s="38"/>
      <c r="P212" s="38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ht="19" hidden="1">
      <c r="A213" s="169"/>
      <c r="B213" s="170"/>
      <c r="C213" s="278" t="s">
        <v>16</v>
      </c>
      <c r="D213" s="796" t="s">
        <v>38</v>
      </c>
      <c r="E213" s="172"/>
      <c r="F213" s="172"/>
      <c r="G213" s="173"/>
      <c r="H213" s="174"/>
      <c r="I213" s="161"/>
      <c r="J213" s="37"/>
      <c r="K213" s="38"/>
      <c r="L213" s="38"/>
      <c r="M213" s="38"/>
      <c r="N213" s="38"/>
      <c r="O213" s="162"/>
      <c r="P213" s="16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9" hidden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7">
        <f ca="1">IFERROR(__xludf.DUMMYFUNCTION("IMPORTRANGE(""https://docs.google.com/spreadsheets/d/1QqKyyYR6Q21VydFLVH3TRQUabQu_ym0Zz7PgGX0-kHA/edit?usp=sharing"",""แผน!AN82"")"),0)</f>
        <v>0</v>
      </c>
      <c r="J214" s="181">
        <v>0</v>
      </c>
      <c r="K214" s="38">
        <f t="shared" ref="K214:K216" ca="1" si="10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9" hidden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7">
        <f ca="1">IFERROR(__xludf.DUMMYFUNCTION("IMPORTRANGE(""https://docs.google.com/spreadsheets/d/1QqKyyYR6Q21VydFLVH3TRQUabQu_ym0Zz7PgGX0-kHA/edit?usp=sharing"",""แผน!AN82"")"),0)</f>
        <v>0</v>
      </c>
      <c r="J215" s="181">
        <v>0</v>
      </c>
      <c r="K215" s="38">
        <f t="shared" ca="1" si="10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">
      <c r="A216" s="245"/>
      <c r="B216" s="253"/>
      <c r="C216" s="259" t="s">
        <v>108</v>
      </c>
      <c r="D216" s="246"/>
      <c r="E216" s="246"/>
      <c r="F216" s="277"/>
      <c r="G216" s="248"/>
      <c r="H216" s="249" t="s">
        <v>109</v>
      </c>
      <c r="I216" s="260">
        <f t="shared" ref="I216:J216" ca="1" si="103">I224</f>
        <v>10000</v>
      </c>
      <c r="J216" s="260">
        <f t="shared" si="103"/>
        <v>10000</v>
      </c>
      <c r="K216" s="261">
        <f t="shared" ca="1" si="102"/>
        <v>100</v>
      </c>
      <c r="L216" s="251"/>
      <c r="M216" s="251"/>
      <c r="N216" s="251"/>
      <c r="O216" s="251"/>
      <c r="P216" s="251"/>
    </row>
    <row r="217" spans="1:26" ht="19">
      <c r="A217" s="146"/>
      <c r="B217" s="147"/>
      <c r="C217" s="148" t="s">
        <v>16</v>
      </c>
      <c r="D217" s="800" t="s">
        <v>17</v>
      </c>
      <c r="E217" s="147"/>
      <c r="F217" s="147"/>
      <c r="G217" s="150"/>
      <c r="H217" s="263" t="s">
        <v>12</v>
      </c>
      <c r="I217" s="267"/>
      <c r="J217" s="267"/>
      <c r="K217" s="268"/>
      <c r="L217" s="154">
        <f ca="1">L218+L219+L220</f>
        <v>6500</v>
      </c>
      <c r="M217" s="154"/>
      <c r="N217" s="154">
        <f>N218+N219+N220</f>
        <v>6500</v>
      </c>
      <c r="O217" s="154">
        <f ca="1">IF(L217&gt;0,N217*100/L217,0)</f>
        <v>100</v>
      </c>
      <c r="P217" s="154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9">
      <c r="A218" s="158"/>
      <c r="B218" s="269"/>
      <c r="C218" s="33"/>
      <c r="D218" s="159" t="s">
        <v>97</v>
      </c>
      <c r="E218" s="33"/>
      <c r="F218" s="33"/>
      <c r="G218" s="35"/>
      <c r="H218" s="160" t="s">
        <v>12</v>
      </c>
      <c r="I218" s="161"/>
      <c r="J218" s="161"/>
      <c r="K218" s="162"/>
      <c r="L218" s="38">
        <f ca="1">IFERROR(__xludf.DUMMYFUNCTION("IMPORTRANGE(""https://docs.google.com/spreadsheets/d/1QqKyyYR6Q21VydFLVH3TRQUabQu_ym0Zz7PgGX0-kHA/edit?usp=sharing"",""แผน!AP82"")"),3000)</f>
        <v>3000</v>
      </c>
      <c r="M218" s="38"/>
      <c r="N218" s="270">
        <v>3000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">
      <c r="A219" s="271"/>
      <c r="B219" s="269"/>
      <c r="C219" s="278"/>
      <c r="D219" s="159" t="s">
        <v>110</v>
      </c>
      <c r="E219" s="33"/>
      <c r="F219" s="33"/>
      <c r="G219" s="35"/>
      <c r="H219" s="160" t="s">
        <v>12</v>
      </c>
      <c r="I219" s="37"/>
      <c r="J219" s="37"/>
      <c r="K219" s="38"/>
      <c r="L219" s="38">
        <f ca="1">IFERROR(__xludf.DUMMYFUNCTION("IMPORTRANGE(""https://docs.google.com/spreadsheets/d/1QqKyyYR6Q21VydFLVH3TRQUabQu_ym0Zz7PgGX0-kHA/edit?usp=sharing"",""แผน!AQ82"")"),3500)</f>
        <v>3500</v>
      </c>
      <c r="M219" s="38"/>
      <c r="N219" s="270">
        <v>3500</v>
      </c>
      <c r="O219" s="38"/>
      <c r="P219" s="38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ht="19">
      <c r="A220" s="271"/>
      <c r="B220" s="269"/>
      <c r="C220" s="278"/>
      <c r="D220" s="159" t="s">
        <v>98</v>
      </c>
      <c r="E220" s="33"/>
      <c r="F220" s="33"/>
      <c r="G220" s="35"/>
      <c r="H220" s="160" t="s">
        <v>12</v>
      </c>
      <c r="I220" s="37"/>
      <c r="J220" s="37"/>
      <c r="K220" s="38"/>
      <c r="L220" s="38">
        <f ca="1">IFERROR(__xludf.DUMMYFUNCTION("IMPORTRANGE(""https://docs.google.com/spreadsheets/d/1QqKyyYR6Q21VydFLVH3TRQUabQu_ym0Zz7PgGX0-kHA/edit?usp=sharing"",""แผน!AR82"")"),0)</f>
        <v>0</v>
      </c>
      <c r="M220" s="38"/>
      <c r="N220" s="270">
        <v>0</v>
      </c>
      <c r="O220" s="38"/>
      <c r="P220" s="38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ht="19">
      <c r="A221" s="169"/>
      <c r="B221" s="170"/>
      <c r="C221" s="278" t="s">
        <v>16</v>
      </c>
      <c r="D221" s="796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9">
      <c r="A222" s="169"/>
      <c r="B222" s="170"/>
      <c r="C222" s="170"/>
      <c r="D222" s="159" t="s">
        <v>111</v>
      </c>
      <c r="E222" s="177"/>
      <c r="F222" s="177"/>
      <c r="G222" s="178"/>
      <c r="H222" s="174"/>
      <c r="I222" s="37"/>
      <c r="J222" s="37"/>
      <c r="K222" s="162"/>
      <c r="L222" s="162"/>
      <c r="M222" s="162"/>
      <c r="N222" s="162"/>
      <c r="O222" s="162"/>
      <c r="P222" s="16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9">
      <c r="A223" s="169"/>
      <c r="B223" s="170"/>
      <c r="C223" s="170"/>
      <c r="D223" s="170"/>
      <c r="E223" s="175" t="s">
        <v>112</v>
      </c>
      <c r="F223" s="177"/>
      <c r="G223" s="178"/>
      <c r="H223" s="180" t="s">
        <v>109</v>
      </c>
      <c r="I223" s="37">
        <f ca="1">IFERROR(__xludf.DUMMYFUNCTION("IMPORTRANGE(""https://docs.google.com/spreadsheets/d/1QqKyyYR6Q21VydFLVH3TRQUabQu_ym0Zz7PgGX0-kHA/edit?usp=sharing"",""แผน!AT82"")"),10000)</f>
        <v>10000</v>
      </c>
      <c r="J223" s="181">
        <v>10000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9">
      <c r="A224" s="169"/>
      <c r="B224" s="170"/>
      <c r="C224" s="170"/>
      <c r="D224" s="170"/>
      <c r="E224" s="175" t="s">
        <v>113</v>
      </c>
      <c r="F224" s="177"/>
      <c r="G224" s="178"/>
      <c r="H224" s="180" t="s">
        <v>109</v>
      </c>
      <c r="I224" s="37">
        <f ca="1">IFERROR(__xludf.DUMMYFUNCTION("IMPORTRANGE(""https://docs.google.com/spreadsheets/d/1QqKyyYR6Q21VydFLVH3TRQUabQu_ym0Zz7PgGX0-kHA/edit?usp=sharing"",""แผน!AT82"")"),10000)</f>
        <v>10000</v>
      </c>
      <c r="J224" s="181">
        <v>10000</v>
      </c>
      <c r="K224" s="162">
        <f t="shared" ca="1" si="104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9">
      <c r="A225" s="169"/>
      <c r="B225" s="170"/>
      <c r="C225" s="170"/>
      <c r="D225" s="159" t="s">
        <v>114</v>
      </c>
      <c r="E225" s="177"/>
      <c r="F225" s="177"/>
      <c r="G225" s="178"/>
      <c r="H225" s="180" t="s">
        <v>35</v>
      </c>
      <c r="I225" s="37">
        <f ca="1">IFERROR(__xludf.DUMMYFUNCTION("IMPORTRANGE(""https://docs.google.com/spreadsheets/d/1QqKyyYR6Q21VydFLVH3TRQUabQu_ym0Zz7PgGX0-kHA/edit?usp=sharing"",""แผน!AS82"")"),0)</f>
        <v>0</v>
      </c>
      <c r="J225" s="181">
        <v>0</v>
      </c>
      <c r="K225" s="162">
        <f t="shared" ca="1" si="10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" hidden="1">
      <c r="A226" s="245"/>
      <c r="B226" s="253"/>
      <c r="C226" s="327" t="s">
        <v>115</v>
      </c>
      <c r="D226" s="246"/>
      <c r="E226" s="246"/>
      <c r="F226" s="246"/>
      <c r="G226" s="248"/>
      <c r="H226" s="255" t="s">
        <v>35</v>
      </c>
      <c r="I226" s="330">
        <f t="shared" ref="I226:J226" ca="1" si="105">I237+I248</f>
        <v>0</v>
      </c>
      <c r="J226" s="330">
        <f t="shared" si="105"/>
        <v>0</v>
      </c>
      <c r="K226" s="331">
        <f t="shared" ca="1" si="104"/>
        <v>0</v>
      </c>
      <c r="L226" s="251"/>
      <c r="M226" s="251"/>
      <c r="N226" s="251"/>
      <c r="O226" s="251"/>
      <c r="P226" s="251"/>
    </row>
    <row r="227" spans="1:26" ht="19" hidden="1">
      <c r="A227" s="333"/>
      <c r="B227" s="334"/>
      <c r="C227" s="335" t="s">
        <v>16</v>
      </c>
      <c r="D227" s="801" t="s">
        <v>17</v>
      </c>
      <c r="E227" s="334"/>
      <c r="F227" s="334"/>
      <c r="G227" s="337"/>
      <c r="H227" s="338" t="s">
        <v>12</v>
      </c>
      <c r="I227" s="339"/>
      <c r="J227" s="339"/>
      <c r="K227" s="340"/>
      <c r="L227" s="341">
        <f t="shared" ref="L227:L231" ca="1" si="106">L238+L249</f>
        <v>0</v>
      </c>
      <c r="M227" s="341"/>
      <c r="N227" s="341">
        <f t="shared" ref="N227:N231" si="107">N238+N249</f>
        <v>0</v>
      </c>
      <c r="O227" s="802"/>
      <c r="P227" s="80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9" hidden="1">
      <c r="A228" s="155"/>
      <c r="B228" s="342"/>
      <c r="C228" s="40"/>
      <c r="D228" s="41" t="s">
        <v>97</v>
      </c>
      <c r="E228" s="40"/>
      <c r="F228" s="40"/>
      <c r="G228" s="42"/>
      <c r="H228" s="164" t="s">
        <v>12</v>
      </c>
      <c r="I228" s="165"/>
      <c r="J228" s="165"/>
      <c r="K228" s="166"/>
      <c r="L228" s="45">
        <f t="shared" ca="1" si="106"/>
        <v>0</v>
      </c>
      <c r="M228" s="45"/>
      <c r="N228" s="45">
        <f t="shared" si="107"/>
        <v>0</v>
      </c>
      <c r="O228" s="45"/>
      <c r="P228" s="45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" hidden="1">
      <c r="A229" s="344"/>
      <c r="B229" s="342"/>
      <c r="C229" s="345"/>
      <c r="D229" s="41" t="s">
        <v>98</v>
      </c>
      <c r="E229" s="40"/>
      <c r="F229" s="40"/>
      <c r="G229" s="42"/>
      <c r="H229" s="164" t="s">
        <v>12</v>
      </c>
      <c r="I229" s="44"/>
      <c r="J229" s="44"/>
      <c r="K229" s="45"/>
      <c r="L229" s="45">
        <f t="shared" ca="1" si="106"/>
        <v>0</v>
      </c>
      <c r="M229" s="45"/>
      <c r="N229" s="45">
        <f t="shared" si="107"/>
        <v>0</v>
      </c>
      <c r="O229" s="45"/>
      <c r="P229" s="45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</row>
    <row r="230" spans="1:26" ht="19" hidden="1">
      <c r="A230" s="344"/>
      <c r="B230" s="342"/>
      <c r="C230" s="345"/>
      <c r="D230" s="41" t="s">
        <v>116</v>
      </c>
      <c r="E230" s="40"/>
      <c r="F230" s="40"/>
      <c r="G230" s="42"/>
      <c r="H230" s="164" t="s">
        <v>12</v>
      </c>
      <c r="I230" s="44"/>
      <c r="J230" s="44"/>
      <c r="K230" s="45"/>
      <c r="L230" s="45">
        <f t="shared" ca="1" si="106"/>
        <v>0</v>
      </c>
      <c r="M230" s="45"/>
      <c r="N230" s="45">
        <f t="shared" si="107"/>
        <v>0</v>
      </c>
      <c r="O230" s="45"/>
      <c r="P230" s="45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</row>
    <row r="231" spans="1:26" ht="19" hidden="1">
      <c r="A231" s="344"/>
      <c r="B231" s="342"/>
      <c r="C231" s="345"/>
      <c r="D231" s="41" t="s">
        <v>100</v>
      </c>
      <c r="E231" s="40"/>
      <c r="F231" s="40"/>
      <c r="G231" s="42"/>
      <c r="H231" s="164" t="s">
        <v>12</v>
      </c>
      <c r="I231" s="44"/>
      <c r="J231" s="44"/>
      <c r="K231" s="45"/>
      <c r="L231" s="45">
        <f t="shared" ca="1" si="106"/>
        <v>0</v>
      </c>
      <c r="M231" s="45"/>
      <c r="N231" s="45">
        <f t="shared" si="107"/>
        <v>0</v>
      </c>
      <c r="O231" s="45"/>
      <c r="P231" s="45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</row>
    <row r="232" spans="1:26" ht="19" hidden="1">
      <c r="A232" s="347"/>
      <c r="B232" s="348"/>
      <c r="C232" s="345" t="s">
        <v>16</v>
      </c>
      <c r="D232" s="256" t="s">
        <v>38</v>
      </c>
      <c r="E232" s="349"/>
      <c r="F232" s="349"/>
      <c r="G232" s="350"/>
      <c r="H232" s="351"/>
      <c r="I232" s="165"/>
      <c r="J232" s="44"/>
      <c r="K232" s="45"/>
      <c r="L232" s="45"/>
      <c r="M232" s="45"/>
      <c r="N232" s="45"/>
      <c r="O232" s="166"/>
      <c r="P232" s="16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9" hidden="1">
      <c r="A233" s="347"/>
      <c r="B233" s="348"/>
      <c r="C233" s="348"/>
      <c r="D233" s="258" t="s">
        <v>117</v>
      </c>
      <c r="E233" s="352"/>
      <c r="F233" s="352"/>
      <c r="G233" s="353"/>
      <c r="H233" s="354" t="s">
        <v>35</v>
      </c>
      <c r="I233" s="44">
        <f t="shared" ref="I233:J233" ca="1" si="108">I244+I255</f>
        <v>0</v>
      </c>
      <c r="J233" s="44">
        <f t="shared" si="108"/>
        <v>0</v>
      </c>
      <c r="K233" s="45">
        <f ca="1">IF(I233&gt;0,J233*100/I233,0)</f>
        <v>0</v>
      </c>
      <c r="L233" s="45"/>
      <c r="M233" s="45"/>
      <c r="N233" s="45"/>
      <c r="O233" s="45"/>
      <c r="P233" s="45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9" hidden="1">
      <c r="A234" s="347"/>
      <c r="B234" s="348"/>
      <c r="C234" s="348"/>
      <c r="D234" s="356" t="s">
        <v>43</v>
      </c>
      <c r="E234" s="352"/>
      <c r="F234" s="352"/>
      <c r="G234" s="353"/>
      <c r="H234" s="354"/>
      <c r="I234" s="44"/>
      <c r="J234" s="44"/>
      <c r="K234" s="45"/>
      <c r="L234" s="45"/>
      <c r="M234" s="45"/>
      <c r="N234" s="45"/>
      <c r="O234" s="166"/>
      <c r="P234" s="16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9" hidden="1">
      <c r="A235" s="347"/>
      <c r="B235" s="348"/>
      <c r="C235" s="348"/>
      <c r="D235" s="348"/>
      <c r="E235" s="257" t="s">
        <v>118</v>
      </c>
      <c r="F235" s="352"/>
      <c r="G235" s="353"/>
      <c r="H235" s="354" t="s">
        <v>35</v>
      </c>
      <c r="I235" s="44">
        <f t="shared" ref="I235:J236" si="109">I246+I257</f>
        <v>0</v>
      </c>
      <c r="J235" s="44">
        <f t="shared" si="109"/>
        <v>0</v>
      </c>
      <c r="K235" s="45">
        <f t="shared" ref="K235:K237" si="110">IF(I235&gt;0,J235*100/I235,0)</f>
        <v>0</v>
      </c>
      <c r="L235" s="45"/>
      <c r="M235" s="45"/>
      <c r="N235" s="45"/>
      <c r="O235" s="45"/>
      <c r="P235" s="45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9" hidden="1">
      <c r="A236" s="347"/>
      <c r="B236" s="348"/>
      <c r="C236" s="348"/>
      <c r="D236" s="348"/>
      <c r="E236" s="257" t="s">
        <v>119</v>
      </c>
      <c r="F236" s="352"/>
      <c r="G236" s="353"/>
      <c r="H236" s="354" t="s">
        <v>66</v>
      </c>
      <c r="I236" s="44">
        <f t="shared" si="109"/>
        <v>0</v>
      </c>
      <c r="J236" s="44">
        <f t="shared" si="109"/>
        <v>0</v>
      </c>
      <c r="K236" s="45">
        <f t="shared" si="110"/>
        <v>0</v>
      </c>
      <c r="L236" s="45"/>
      <c r="M236" s="45"/>
      <c r="N236" s="45"/>
      <c r="O236" s="45"/>
      <c r="P236" s="45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" hidden="1">
      <c r="A237" s="245"/>
      <c r="B237" s="253"/>
      <c r="C237" s="259" t="s">
        <v>331</v>
      </c>
      <c r="D237" s="246"/>
      <c r="E237" s="246"/>
      <c r="F237" s="246"/>
      <c r="G237" s="248"/>
      <c r="H237" s="249" t="s">
        <v>35</v>
      </c>
      <c r="I237" s="260">
        <f t="shared" ref="I237:J237" ca="1" si="111">I244</f>
        <v>0</v>
      </c>
      <c r="J237" s="260">
        <f t="shared" si="111"/>
        <v>0</v>
      </c>
      <c r="K237" s="261">
        <f t="shared" ca="1" si="110"/>
        <v>0</v>
      </c>
      <c r="L237" s="251"/>
      <c r="M237" s="251"/>
      <c r="N237" s="251"/>
      <c r="O237" s="251"/>
      <c r="P237" s="251"/>
    </row>
    <row r="238" spans="1:26" ht="19" hidden="1">
      <c r="A238" s="146"/>
      <c r="B238" s="147"/>
      <c r="C238" s="148" t="s">
        <v>16</v>
      </c>
      <c r="D238" s="795" t="s">
        <v>17</v>
      </c>
      <c r="E238" s="147"/>
      <c r="F238" s="147"/>
      <c r="G238" s="150"/>
      <c r="H238" s="263" t="s">
        <v>12</v>
      </c>
      <c r="I238" s="267"/>
      <c r="J238" s="267"/>
      <c r="K238" s="268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9" hidden="1">
      <c r="A239" s="300"/>
      <c r="B239" s="301"/>
      <c r="C239" s="302"/>
      <c r="D239" s="303" t="s">
        <v>97</v>
      </c>
      <c r="E239" s="302"/>
      <c r="F239" s="302"/>
      <c r="G239" s="304"/>
      <c r="H239" s="305" t="s">
        <v>12</v>
      </c>
      <c r="I239" s="306"/>
      <c r="J239" s="306"/>
      <c r="K239" s="307"/>
      <c r="L239" s="308">
        <f ca="1">IFERROR(__xludf.DUMMYFUNCTION("IMPORTRANGE(""https://docs.google.com/spreadsheets/d/1QqKyyYR6Q21VydFLVH3TRQUabQu_ym0Zz7PgGX0-kHA/edit?usp=sharing"",""แผน!AV82"")"),0)</f>
        <v>0</v>
      </c>
      <c r="M239" s="308"/>
      <c r="N239" s="803">
        <v>0</v>
      </c>
      <c r="O239" s="308"/>
      <c r="P239" s="308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9" hidden="1">
      <c r="A240" s="309"/>
      <c r="B240" s="301"/>
      <c r="C240" s="310"/>
      <c r="D240" s="303" t="s">
        <v>98</v>
      </c>
      <c r="E240" s="302"/>
      <c r="F240" s="302"/>
      <c r="G240" s="304"/>
      <c r="H240" s="305" t="s">
        <v>12</v>
      </c>
      <c r="I240" s="311"/>
      <c r="J240" s="311"/>
      <c r="K240" s="308"/>
      <c r="L240" s="308">
        <f ca="1">IFERROR(__xludf.DUMMYFUNCTION("IMPORTRANGE(""https://docs.google.com/spreadsheets/d/1QqKyyYR6Q21VydFLVH3TRQUabQu_ym0Zz7PgGX0-kHA/edit?usp=sharing"",""แผน!AW82"")"),0)</f>
        <v>0</v>
      </c>
      <c r="M240" s="308"/>
      <c r="N240" s="803">
        <v>0</v>
      </c>
      <c r="O240" s="308"/>
      <c r="P240" s="308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</row>
    <row r="241" spans="1:26" ht="19" hidden="1">
      <c r="A241" s="309"/>
      <c r="B241" s="301"/>
      <c r="C241" s="310"/>
      <c r="D241" s="303" t="s">
        <v>116</v>
      </c>
      <c r="E241" s="302"/>
      <c r="F241" s="302"/>
      <c r="G241" s="304"/>
      <c r="H241" s="305" t="s">
        <v>12</v>
      </c>
      <c r="I241" s="311"/>
      <c r="J241" s="311"/>
      <c r="K241" s="308"/>
      <c r="L241" s="308">
        <f ca="1">IFERROR(__xludf.DUMMYFUNCTION("IMPORTRANGE(""https://docs.google.com/spreadsheets/d/1QqKyyYR6Q21VydFLVH3TRQUabQu_ym0Zz7PgGX0-kHA/edit?usp=sharing"",""แผน!AX82"")"),0)</f>
        <v>0</v>
      </c>
      <c r="M241" s="308"/>
      <c r="N241" s="803">
        <v>0</v>
      </c>
      <c r="O241" s="308"/>
      <c r="P241" s="308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</row>
    <row r="242" spans="1:26" ht="19" hidden="1">
      <c r="A242" s="309"/>
      <c r="B242" s="301"/>
      <c r="C242" s="310"/>
      <c r="D242" s="303" t="s">
        <v>100</v>
      </c>
      <c r="E242" s="302"/>
      <c r="F242" s="302"/>
      <c r="G242" s="304"/>
      <c r="H242" s="305" t="s">
        <v>12</v>
      </c>
      <c r="I242" s="311"/>
      <c r="J242" s="311"/>
      <c r="K242" s="308"/>
      <c r="L242" s="308">
        <f ca="1">IFERROR(__xludf.DUMMYFUNCTION("IMPORTRANGE(""https://docs.google.com/spreadsheets/d/1QqKyyYR6Q21VydFLVH3TRQUabQu_ym0Zz7PgGX0-kHA/edit?usp=sharing"",""แผน!AY82"")"),0)</f>
        <v>0</v>
      </c>
      <c r="M242" s="308"/>
      <c r="N242" s="803">
        <v>0</v>
      </c>
      <c r="O242" s="308"/>
      <c r="P242" s="308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</row>
    <row r="243" spans="1:26" ht="19" hidden="1">
      <c r="A243" s="169"/>
      <c r="B243" s="170"/>
      <c r="C243" s="278" t="s">
        <v>16</v>
      </c>
      <c r="D243" s="796" t="s">
        <v>38</v>
      </c>
      <c r="E243" s="172"/>
      <c r="F243" s="172"/>
      <c r="G243" s="173"/>
      <c r="H243" s="174"/>
      <c r="I243" s="161"/>
      <c r="J243" s="37"/>
      <c r="K243" s="38"/>
      <c r="L243" s="38"/>
      <c r="M243" s="38"/>
      <c r="N243" s="38"/>
      <c r="O243" s="162"/>
      <c r="P243" s="16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" hidden="1">
      <c r="A244" s="169"/>
      <c r="B244" s="170"/>
      <c r="C244" s="170"/>
      <c r="D244" s="176" t="s">
        <v>117</v>
      </c>
      <c r="E244" s="177"/>
      <c r="F244" s="177"/>
      <c r="G244" s="178"/>
      <c r="H244" s="180" t="s">
        <v>35</v>
      </c>
      <c r="I244" s="37">
        <f ca="1">IFERROR(__xludf.DUMMYFUNCTION("IMPORTRANGE(""https://docs.google.com/spreadsheets/d/1QqKyyYR6Q21VydFLVH3TRQUabQu_ym0Zz7PgGX0-kHA/edit?usp=sharing"",""แผน!BE82"")"),0)</f>
        <v>0</v>
      </c>
      <c r="J244" s="181"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9" hidden="1">
      <c r="A245" s="169"/>
      <c r="B245" s="170"/>
      <c r="C245" s="170"/>
      <c r="D245" s="804" t="s">
        <v>43</v>
      </c>
      <c r="E245" s="177"/>
      <c r="F245" s="177"/>
      <c r="G245" s="178"/>
      <c r="H245" s="180"/>
      <c r="I245" s="37"/>
      <c r="J245" s="37"/>
      <c r="K245" s="38"/>
      <c r="L245" s="38"/>
      <c r="M245" s="38"/>
      <c r="N245" s="38"/>
      <c r="O245" s="162"/>
      <c r="P245" s="16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9" hidden="1">
      <c r="A246" s="169"/>
      <c r="B246" s="170"/>
      <c r="C246" s="170"/>
      <c r="D246" s="170"/>
      <c r="E246" s="175" t="s">
        <v>118</v>
      </c>
      <c r="F246" s="177"/>
      <c r="G246" s="178"/>
      <c r="H246" s="180" t="s">
        <v>35</v>
      </c>
      <c r="I246" s="37"/>
      <c r="J246" s="181">
        <v>0</v>
      </c>
      <c r="K246" s="38">
        <f t="shared" ref="K246:K248" si="112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9" hidden="1">
      <c r="A247" s="169"/>
      <c r="B247" s="170"/>
      <c r="C247" s="170"/>
      <c r="D247" s="170"/>
      <c r="E247" s="175" t="s">
        <v>119</v>
      </c>
      <c r="F247" s="177"/>
      <c r="G247" s="178"/>
      <c r="H247" s="180" t="s">
        <v>66</v>
      </c>
      <c r="I247" s="37"/>
      <c r="J247" s="181">
        <v>0</v>
      </c>
      <c r="K247" s="38">
        <f t="shared" si="112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" hidden="1">
      <c r="A248" s="245"/>
      <c r="B248" s="253"/>
      <c r="C248" s="259" t="s">
        <v>332</v>
      </c>
      <c r="D248" s="246"/>
      <c r="E248" s="246"/>
      <c r="F248" s="246"/>
      <c r="G248" s="248"/>
      <c r="H248" s="249" t="s">
        <v>35</v>
      </c>
      <c r="I248" s="260">
        <f t="shared" ref="I248:J248" ca="1" si="113">I255</f>
        <v>0</v>
      </c>
      <c r="J248" s="260">
        <f t="shared" si="113"/>
        <v>0</v>
      </c>
      <c r="K248" s="261">
        <f t="shared" ca="1" si="112"/>
        <v>0</v>
      </c>
      <c r="L248" s="251"/>
      <c r="M248" s="251"/>
      <c r="N248" s="251"/>
      <c r="O248" s="251"/>
      <c r="P248" s="251"/>
    </row>
    <row r="249" spans="1:26" ht="19" hidden="1">
      <c r="A249" s="146"/>
      <c r="B249" s="147"/>
      <c r="C249" s="148" t="s">
        <v>16</v>
      </c>
      <c r="D249" s="800" t="s">
        <v>17</v>
      </c>
      <c r="E249" s="147"/>
      <c r="F249" s="147"/>
      <c r="G249" s="150"/>
      <c r="H249" s="263" t="s">
        <v>12</v>
      </c>
      <c r="I249" s="267"/>
      <c r="J249" s="267"/>
      <c r="K249" s="268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9" hidden="1">
      <c r="A250" s="300"/>
      <c r="B250" s="301"/>
      <c r="C250" s="302"/>
      <c r="D250" s="303" t="s">
        <v>97</v>
      </c>
      <c r="E250" s="302"/>
      <c r="F250" s="302"/>
      <c r="G250" s="304"/>
      <c r="H250" s="305" t="s">
        <v>12</v>
      </c>
      <c r="I250" s="306"/>
      <c r="J250" s="306"/>
      <c r="K250" s="307"/>
      <c r="L250" s="308">
        <f ca="1">IFERROR(__xludf.DUMMYFUNCTION("IMPORTRANGE(""https://docs.google.com/spreadsheets/d/1QqKyyYR6Q21VydFLVH3TRQUabQu_ym0Zz7PgGX0-kHA/edit?usp=sharing"",""แผน!AZ82"")"),0)</f>
        <v>0</v>
      </c>
      <c r="M250" s="308"/>
      <c r="N250" s="803">
        <v>0</v>
      </c>
      <c r="O250" s="308"/>
      <c r="P250" s="308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9" hidden="1">
      <c r="A251" s="309"/>
      <c r="B251" s="301"/>
      <c r="C251" s="310"/>
      <c r="D251" s="303" t="s">
        <v>98</v>
      </c>
      <c r="E251" s="302"/>
      <c r="F251" s="302"/>
      <c r="G251" s="304"/>
      <c r="H251" s="305" t="s">
        <v>12</v>
      </c>
      <c r="I251" s="311"/>
      <c r="J251" s="311"/>
      <c r="K251" s="308"/>
      <c r="L251" s="308">
        <f ca="1">IFERROR(__xludf.DUMMYFUNCTION("IMPORTRANGE(""https://docs.google.com/spreadsheets/d/1QqKyyYR6Q21VydFLVH3TRQUabQu_ym0Zz7PgGX0-kHA/edit?usp=sharing"",""แผน!BA82"")"),0)</f>
        <v>0</v>
      </c>
      <c r="M251" s="308"/>
      <c r="N251" s="803">
        <v>0</v>
      </c>
      <c r="O251" s="308"/>
      <c r="P251" s="308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</row>
    <row r="252" spans="1:26" ht="19" hidden="1">
      <c r="A252" s="309"/>
      <c r="B252" s="301"/>
      <c r="C252" s="310"/>
      <c r="D252" s="303" t="s">
        <v>116</v>
      </c>
      <c r="E252" s="302"/>
      <c r="F252" s="302"/>
      <c r="G252" s="304"/>
      <c r="H252" s="305" t="s">
        <v>12</v>
      </c>
      <c r="I252" s="311"/>
      <c r="J252" s="311"/>
      <c r="K252" s="308"/>
      <c r="L252" s="308">
        <f ca="1">IFERROR(__xludf.DUMMYFUNCTION("IMPORTRANGE(""https://docs.google.com/spreadsheets/d/1QqKyyYR6Q21VydFLVH3TRQUabQu_ym0Zz7PgGX0-kHA/edit?usp=sharing"",""แผน!BB82"")"),0)</f>
        <v>0</v>
      </c>
      <c r="M252" s="308"/>
      <c r="N252" s="803">
        <v>0</v>
      </c>
      <c r="O252" s="308"/>
      <c r="P252" s="308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</row>
    <row r="253" spans="1:26" ht="19" hidden="1">
      <c r="A253" s="309"/>
      <c r="B253" s="301"/>
      <c r="C253" s="310"/>
      <c r="D253" s="303" t="s">
        <v>100</v>
      </c>
      <c r="E253" s="302"/>
      <c r="F253" s="302"/>
      <c r="G253" s="304"/>
      <c r="H253" s="305" t="s">
        <v>12</v>
      </c>
      <c r="I253" s="311"/>
      <c r="J253" s="311"/>
      <c r="K253" s="308"/>
      <c r="L253" s="308">
        <f ca="1">IFERROR(__xludf.DUMMYFUNCTION("IMPORTRANGE(""https://docs.google.com/spreadsheets/d/1QqKyyYR6Q21VydFLVH3TRQUabQu_ym0Zz7PgGX0-kHA/edit?usp=sharing"",""แผน!BC82"")"),0)</f>
        <v>0</v>
      </c>
      <c r="M253" s="308"/>
      <c r="N253" s="803">
        <v>0</v>
      </c>
      <c r="O253" s="308"/>
      <c r="P253" s="308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</row>
    <row r="254" spans="1:26" ht="19" hidden="1">
      <c r="A254" s="169"/>
      <c r="B254" s="170"/>
      <c r="C254" s="278" t="s">
        <v>16</v>
      </c>
      <c r="D254" s="796" t="s">
        <v>38</v>
      </c>
      <c r="E254" s="172"/>
      <c r="F254" s="172"/>
      <c r="G254" s="173"/>
      <c r="H254" s="174"/>
      <c r="I254" s="161"/>
      <c r="J254" s="37"/>
      <c r="K254" s="38"/>
      <c r="L254" s="38"/>
      <c r="M254" s="38"/>
      <c r="N254" s="38"/>
      <c r="O254" s="162"/>
      <c r="P254" s="16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9" hidden="1">
      <c r="A255" s="169"/>
      <c r="B255" s="170"/>
      <c r="C255" s="170"/>
      <c r="D255" s="176" t="s">
        <v>117</v>
      </c>
      <c r="E255" s="177"/>
      <c r="F255" s="177"/>
      <c r="G255" s="178"/>
      <c r="H255" s="180" t="s">
        <v>35</v>
      </c>
      <c r="I255" s="37">
        <f ca="1">IFERROR(__xludf.DUMMYFUNCTION("IMPORTRANGE(""https://docs.google.com/spreadsheets/d/1QqKyyYR6Q21VydFLVH3TRQUabQu_ym0Zz7PgGX0-kHA/edit?usp=sharing"",""แผน!BF82"")"),0)</f>
        <v>0</v>
      </c>
      <c r="J255" s="181"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9" hidden="1">
      <c r="A256" s="169"/>
      <c r="B256" s="170"/>
      <c r="C256" s="170"/>
      <c r="D256" s="804" t="s">
        <v>43</v>
      </c>
      <c r="E256" s="177"/>
      <c r="F256" s="177"/>
      <c r="G256" s="178"/>
      <c r="H256" s="180"/>
      <c r="I256" s="37"/>
      <c r="J256" s="37"/>
      <c r="K256" s="38"/>
      <c r="L256" s="38"/>
      <c r="M256" s="38"/>
      <c r="N256" s="38"/>
      <c r="O256" s="162"/>
      <c r="P256" s="16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9" hidden="1">
      <c r="A257" s="169"/>
      <c r="B257" s="170"/>
      <c r="C257" s="170"/>
      <c r="D257" s="170"/>
      <c r="E257" s="175" t="s">
        <v>118</v>
      </c>
      <c r="F257" s="177"/>
      <c r="G257" s="178"/>
      <c r="H257" s="180" t="s">
        <v>35</v>
      </c>
      <c r="I257" s="37"/>
      <c r="J257" s="181">
        <v>0</v>
      </c>
      <c r="K257" s="38">
        <f t="shared" ref="K257:K258" si="114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9" hidden="1">
      <c r="A258" s="169"/>
      <c r="B258" s="170"/>
      <c r="C258" s="170"/>
      <c r="D258" s="170"/>
      <c r="E258" s="175" t="s">
        <v>119</v>
      </c>
      <c r="F258" s="177"/>
      <c r="G258" s="178"/>
      <c r="H258" s="180" t="s">
        <v>66</v>
      </c>
      <c r="I258" s="37"/>
      <c r="J258" s="181">
        <v>0</v>
      </c>
      <c r="K258" s="38">
        <f t="shared" si="114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">
      <c r="A259" s="231" t="s">
        <v>122</v>
      </c>
      <c r="B259" s="232"/>
      <c r="C259" s="232"/>
      <c r="D259" s="233"/>
      <c r="E259" s="233"/>
      <c r="F259" s="233"/>
      <c r="G259" s="234"/>
      <c r="H259" s="235"/>
      <c r="I259" s="236"/>
      <c r="J259" s="236"/>
      <c r="K259" s="237"/>
      <c r="L259" s="237"/>
      <c r="M259" s="237"/>
      <c r="N259" s="237"/>
      <c r="O259" s="237"/>
      <c r="P259" s="237"/>
    </row>
    <row r="260" spans="1:26" ht="19">
      <c r="A260" s="238"/>
      <c r="B260" s="239" t="s">
        <v>123</v>
      </c>
      <c r="C260" s="240"/>
      <c r="D260" s="172"/>
      <c r="E260" s="172"/>
      <c r="F260" s="172"/>
      <c r="G260" s="173"/>
      <c r="H260" s="241" t="s">
        <v>35</v>
      </c>
      <c r="I260" s="242">
        <f t="shared" ref="I260:J260" ca="1" si="115">I271</f>
        <v>20</v>
      </c>
      <c r="J260" s="242">
        <f t="shared" si="115"/>
        <v>20</v>
      </c>
      <c r="K260" s="243">
        <f ca="1">IF(I260&gt;0,J260*100/I260,0)</f>
        <v>100</v>
      </c>
      <c r="L260" s="244"/>
      <c r="M260" s="244"/>
      <c r="N260" s="244"/>
      <c r="O260" s="244"/>
      <c r="P260" s="244"/>
    </row>
    <row r="261" spans="1:26" ht="19">
      <c r="A261" s="146"/>
      <c r="B261" s="147"/>
      <c r="C261" s="148" t="s">
        <v>16</v>
      </c>
      <c r="D261" s="795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16">L262+L263</f>
        <v>25000</v>
      </c>
      <c r="M261" s="154">
        <f t="shared" ca="1" si="116"/>
        <v>25000</v>
      </c>
      <c r="N261" s="154">
        <f t="shared" ca="1" si="116"/>
        <v>18540</v>
      </c>
      <c r="O261" s="154">
        <f t="shared" ref="O261:O269" ca="1" si="117">IF(L261&gt;0,N261*100/L261,0)</f>
        <v>74.16</v>
      </c>
      <c r="P261" s="154">
        <f t="shared" ref="P261:P269" ca="1" si="118">IF(M261&gt;0,N261*100/M261,0)</f>
        <v>74.16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9" hidden="1">
      <c r="A262" s="155"/>
      <c r="B262" s="40"/>
      <c r="C262" s="40"/>
      <c r="D262" s="40"/>
      <c r="E262" s="41" t="s">
        <v>18</v>
      </c>
      <c r="F262" s="40"/>
      <c r="G262" s="156"/>
      <c r="H262" s="157" t="s">
        <v>12</v>
      </c>
      <c r="I262" s="44"/>
      <c r="J262" s="44"/>
      <c r="K262" s="45"/>
      <c r="L262" s="45">
        <f t="shared" ref="L262:N263" si="119">L265+L268</f>
        <v>0</v>
      </c>
      <c r="M262" s="45">
        <f t="shared" si="119"/>
        <v>0</v>
      </c>
      <c r="N262" s="45">
        <f t="shared" si="119"/>
        <v>0</v>
      </c>
      <c r="O262" s="45">
        <f t="shared" si="117"/>
        <v>0</v>
      </c>
      <c r="P262" s="45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9" hidden="1">
      <c r="A263" s="155"/>
      <c r="B263" s="40"/>
      <c r="C263" s="40"/>
      <c r="D263" s="40"/>
      <c r="E263" s="41" t="s">
        <v>19</v>
      </c>
      <c r="F263" s="40"/>
      <c r="G263" s="156"/>
      <c r="H263" s="157" t="s">
        <v>12</v>
      </c>
      <c r="I263" s="44"/>
      <c r="J263" s="44"/>
      <c r="K263" s="45"/>
      <c r="L263" s="45">
        <f t="shared" ca="1" si="119"/>
        <v>25000</v>
      </c>
      <c r="M263" s="45">
        <f t="shared" ca="1" si="119"/>
        <v>25000</v>
      </c>
      <c r="N263" s="45">
        <f t="shared" ca="1" si="119"/>
        <v>18540</v>
      </c>
      <c r="O263" s="45">
        <f t="shared" ca="1" si="117"/>
        <v>74.16</v>
      </c>
      <c r="P263" s="45">
        <f t="shared" ca="1" si="118"/>
        <v>74.16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9">
      <c r="A264" s="158"/>
      <c r="B264" s="33"/>
      <c r="C264" s="159"/>
      <c r="D264" s="34" t="s">
        <v>20</v>
      </c>
      <c r="E264" s="33"/>
      <c r="F264" s="33"/>
      <c r="G264" s="35"/>
      <c r="H264" s="160" t="s">
        <v>12</v>
      </c>
      <c r="I264" s="161"/>
      <c r="J264" s="161"/>
      <c r="K264" s="162"/>
      <c r="L264" s="38">
        <f t="shared" ref="L264:N264" ca="1" si="120">L265+L266</f>
        <v>25000</v>
      </c>
      <c r="M264" s="38">
        <f t="shared" ca="1" si="120"/>
        <v>25000</v>
      </c>
      <c r="N264" s="38">
        <f t="shared" ca="1" si="120"/>
        <v>18540</v>
      </c>
      <c r="O264" s="38">
        <f t="shared" ca="1" si="117"/>
        <v>74.16</v>
      </c>
      <c r="P264" s="38">
        <f t="shared" ca="1" si="118"/>
        <v>74.16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" hidden="1">
      <c r="A265" s="155"/>
      <c r="B265" s="40"/>
      <c r="C265" s="163"/>
      <c r="D265" s="40"/>
      <c r="E265" s="41" t="s">
        <v>36</v>
      </c>
      <c r="F265" s="40"/>
      <c r="G265" s="156"/>
      <c r="H265" s="164" t="s">
        <v>12</v>
      </c>
      <c r="I265" s="165"/>
      <c r="J265" s="165"/>
      <c r="K265" s="166"/>
      <c r="L265" s="45">
        <v>0</v>
      </c>
      <c r="M265" s="45">
        <v>0</v>
      </c>
      <c r="N265" s="45">
        <v>0</v>
      </c>
      <c r="O265" s="45">
        <f t="shared" si="117"/>
        <v>0</v>
      </c>
      <c r="P265" s="45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" hidden="1">
      <c r="A266" s="155"/>
      <c r="B266" s="40"/>
      <c r="C266" s="163"/>
      <c r="D266" s="40"/>
      <c r="E266" s="41" t="s">
        <v>37</v>
      </c>
      <c r="F266" s="40"/>
      <c r="G266" s="156"/>
      <c r="H266" s="164" t="s">
        <v>12</v>
      </c>
      <c r="I266" s="165"/>
      <c r="J266" s="165"/>
      <c r="K266" s="166"/>
      <c r="L266" s="45">
        <f ca="1">IFERROR(__xludf.DUMMYFUNCTION("IMPORTRANGE(""https://docs.google.com/spreadsheets/d/1MeEWN-I1oV_STSDYn1IFDPWt_1FKiwhDph83XaGc0o0/edit?usp=sharing"",""งบพรบ!CY82"")"),25000)</f>
        <v>25000</v>
      </c>
      <c r="M266" s="45">
        <f ca="1">IFERROR(__xludf.DUMMYFUNCTION("IMPORTRANGE(""https://docs.google.com/spreadsheets/d/1MeEWN-I1oV_STSDYn1IFDPWt_1FKiwhDph83XaGc0o0/edit?usp=sharing"",""งบพรบ!DD82"")"),25000)</f>
        <v>25000</v>
      </c>
      <c r="N266" s="45">
        <f ca="1">IFERROR(__xludf.DUMMYFUNCTION("IMPORTRANGE(""https://docs.google.com/spreadsheets/d/1MeEWN-I1oV_STSDYn1IFDPWt_1FKiwhDph83XaGc0o0/edit?usp=sharing"",""งบพรบ!DF82"")"),18540)</f>
        <v>18540</v>
      </c>
      <c r="O266" s="45">
        <f t="shared" ca="1" si="117"/>
        <v>74.16</v>
      </c>
      <c r="P266" s="45">
        <f t="shared" ca="1" si="118"/>
        <v>74.16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9">
      <c r="A267" s="158"/>
      <c r="B267" s="33"/>
      <c r="C267" s="159"/>
      <c r="D267" s="34" t="s">
        <v>21</v>
      </c>
      <c r="E267" s="33"/>
      <c r="F267" s="33"/>
      <c r="G267" s="35"/>
      <c r="H267" s="167" t="s">
        <v>12</v>
      </c>
      <c r="I267" s="161"/>
      <c r="J267" s="161"/>
      <c r="K267" s="162"/>
      <c r="L267" s="38">
        <f t="shared" ref="L267:N267" ca="1" si="121">L268+L269</f>
        <v>0</v>
      </c>
      <c r="M267" s="38">
        <f t="shared" ca="1" si="121"/>
        <v>0</v>
      </c>
      <c r="N267" s="38">
        <f t="shared" ca="1" si="121"/>
        <v>0</v>
      </c>
      <c r="O267" s="38">
        <f t="shared" ca="1" si="117"/>
        <v>0</v>
      </c>
      <c r="P267" s="3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" hidden="1">
      <c r="A268" s="155"/>
      <c r="B268" s="40"/>
      <c r="C268" s="163"/>
      <c r="D268" s="40"/>
      <c r="E268" s="41" t="s">
        <v>18</v>
      </c>
      <c r="F268" s="40"/>
      <c r="G268" s="156"/>
      <c r="H268" s="164" t="s">
        <v>12</v>
      </c>
      <c r="I268" s="165"/>
      <c r="J268" s="165"/>
      <c r="K268" s="166"/>
      <c r="L268" s="45">
        <v>0</v>
      </c>
      <c r="M268" s="45">
        <v>0</v>
      </c>
      <c r="N268" s="45">
        <v>0</v>
      </c>
      <c r="O268" s="45">
        <f t="shared" si="117"/>
        <v>0</v>
      </c>
      <c r="P268" s="45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" hidden="1">
      <c r="A269" s="155"/>
      <c r="B269" s="40"/>
      <c r="C269" s="163"/>
      <c r="D269" s="40"/>
      <c r="E269" s="41" t="s">
        <v>19</v>
      </c>
      <c r="F269" s="40"/>
      <c r="G269" s="156"/>
      <c r="H269" s="168" t="s">
        <v>12</v>
      </c>
      <c r="I269" s="165"/>
      <c r="J269" s="165"/>
      <c r="K269" s="166"/>
      <c r="L269" s="45">
        <f ca="1">IFERROR(__xludf.DUMMYFUNCTION("IMPORTRANGE(""https://docs.google.com/spreadsheets/d/1MeEWN-I1oV_STSDYn1IFDPWt_1FKiwhDph83XaGc0o0/edit?usp=sharing"",""งบพรบ!DB82"")"),0)</f>
        <v>0</v>
      </c>
      <c r="M269" s="45">
        <f ca="1">IFERROR(__xludf.DUMMYFUNCTION("IMPORTRANGE(""https://docs.google.com/spreadsheets/d/1MeEWN-I1oV_STSDYn1IFDPWt_1FKiwhDph83XaGc0o0/edit?usp=sharing"",""งบพรบ!DE82"")"),0)</f>
        <v>0</v>
      </c>
      <c r="N269" s="45">
        <f ca="1">IFERROR(__xludf.DUMMYFUNCTION("IMPORTRANGE(""https://docs.google.com/spreadsheets/d/1MeEWN-I1oV_STSDYn1IFDPWt_1FKiwhDph83XaGc0o0/edit?usp=sharing"",""งบพรบ!DG82"")"),0)</f>
        <v>0</v>
      </c>
      <c r="O269" s="45">
        <f t="shared" ca="1" si="117"/>
        <v>0</v>
      </c>
      <c r="P269" s="45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">
      <c r="A270" s="169"/>
      <c r="B270" s="170"/>
      <c r="C270" s="159" t="s">
        <v>16</v>
      </c>
      <c r="D270" s="796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19">
      <c r="A271" s="169"/>
      <c r="B271" s="170"/>
      <c r="C271" s="170"/>
      <c r="D271" s="358" t="s">
        <v>124</v>
      </c>
      <c r="E271" s="177"/>
      <c r="F271" s="258"/>
      <c r="G271" s="178"/>
      <c r="H271" s="359" t="s">
        <v>35</v>
      </c>
      <c r="I271" s="37">
        <f ca="1">IFERROR(__xludf.DUMMYFUNCTION("IMPORTRANGE(""https://docs.google.com/spreadsheets/d/1QqKyyYR6Q21VydFLVH3TRQUabQu_ym0Zz7PgGX0-kHA/edit?usp=sharing"",""แผน!EA82"")"),20)</f>
        <v>20</v>
      </c>
      <c r="J271" s="181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9" hidden="1">
      <c r="A272" s="360"/>
      <c r="B272" s="361"/>
      <c r="C272" s="361"/>
      <c r="D272" s="362" t="s">
        <v>125</v>
      </c>
      <c r="E272" s="363"/>
      <c r="F272" s="363"/>
      <c r="G272" s="364"/>
      <c r="H272" s="50" t="s">
        <v>35</v>
      </c>
      <c r="I272" s="365">
        <v>0</v>
      </c>
      <c r="J272" s="365">
        <v>0</v>
      </c>
      <c r="K272" s="366">
        <v>0</v>
      </c>
      <c r="L272" s="366"/>
      <c r="M272" s="366"/>
      <c r="N272" s="366"/>
      <c r="O272" s="366"/>
      <c r="P272" s="366"/>
    </row>
    <row r="273" spans="1:26" ht="19" hidden="1">
      <c r="A273" s="367" t="s">
        <v>126</v>
      </c>
      <c r="B273" s="368"/>
      <c r="C273" s="368"/>
      <c r="D273" s="368"/>
      <c r="E273" s="369"/>
      <c r="F273" s="369"/>
      <c r="G273" s="370"/>
      <c r="H273" s="371"/>
      <c r="I273" s="372"/>
      <c r="J273" s="372"/>
      <c r="K273" s="373"/>
      <c r="L273" s="373"/>
      <c r="M273" s="373"/>
      <c r="N273" s="373"/>
      <c r="O273" s="373"/>
      <c r="P273" s="373"/>
    </row>
    <row r="274" spans="1:26" ht="19" hidden="1">
      <c r="A274" s="374" t="s">
        <v>127</v>
      </c>
      <c r="B274" s="375"/>
      <c r="C274" s="376"/>
      <c r="D274" s="375"/>
      <c r="E274" s="375"/>
      <c r="F274" s="375"/>
      <c r="G274" s="375"/>
      <c r="H274" s="377"/>
      <c r="I274" s="378"/>
      <c r="J274" s="379"/>
      <c r="K274" s="380"/>
      <c r="L274" s="380"/>
      <c r="M274" s="380"/>
      <c r="N274" s="380"/>
      <c r="O274" s="380"/>
      <c r="P274" s="380"/>
    </row>
    <row r="275" spans="1:26" ht="19" hidden="1">
      <c r="A275" s="381"/>
      <c r="B275" s="382" t="s">
        <v>128</v>
      </c>
      <c r="C275" s="383"/>
      <c r="D275" s="384"/>
      <c r="E275" s="383"/>
      <c r="F275" s="383"/>
      <c r="G275" s="385"/>
      <c r="H275" s="386" t="s">
        <v>35</v>
      </c>
      <c r="I275" s="387">
        <f t="shared" ref="I275:J275" ca="1" si="122">I288</f>
        <v>0</v>
      </c>
      <c r="J275" s="387">
        <f t="shared" ca="1" si="122"/>
        <v>0</v>
      </c>
      <c r="K275" s="388">
        <f t="shared" ref="K275:K276" ca="1" si="123">IF(I275&gt;0,J275*100/I275,0)</f>
        <v>0</v>
      </c>
      <c r="L275" s="389"/>
      <c r="M275" s="389"/>
      <c r="N275" s="389"/>
      <c r="O275" s="389"/>
      <c r="P275" s="389"/>
    </row>
    <row r="276" spans="1:26" ht="19" hidden="1">
      <c r="A276" s="381"/>
      <c r="B276" s="382"/>
      <c r="C276" s="383"/>
      <c r="D276" s="384"/>
      <c r="E276" s="383"/>
      <c r="F276" s="383"/>
      <c r="G276" s="385"/>
      <c r="H276" s="386" t="s">
        <v>46</v>
      </c>
      <c r="I276" s="390">
        <f t="shared" ref="I276:J276" ca="1" si="124">I287</f>
        <v>0</v>
      </c>
      <c r="J276" s="390">
        <f t="shared" si="124"/>
        <v>0</v>
      </c>
      <c r="K276" s="389">
        <f t="shared" ca="1" si="123"/>
        <v>0</v>
      </c>
      <c r="L276" s="389"/>
      <c r="M276" s="389"/>
      <c r="N276" s="389"/>
      <c r="O276" s="389"/>
      <c r="P276" s="389"/>
    </row>
    <row r="277" spans="1:26" ht="19" hidden="1">
      <c r="A277" s="146"/>
      <c r="B277" s="147"/>
      <c r="C277" s="148" t="s">
        <v>16</v>
      </c>
      <c r="D277" s="795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9" hidden="1">
      <c r="A278" s="155"/>
      <c r="B278" s="40"/>
      <c r="C278" s="40"/>
      <c r="D278" s="40"/>
      <c r="E278" s="41" t="s">
        <v>18</v>
      </c>
      <c r="F278" s="40"/>
      <c r="G278" s="156"/>
      <c r="H278" s="157" t="s">
        <v>12</v>
      </c>
      <c r="I278" s="44"/>
      <c r="J278" s="44"/>
      <c r="K278" s="45"/>
      <c r="L278" s="45">
        <f t="shared" ref="L278:N279" si="128">L281+L284</f>
        <v>0</v>
      </c>
      <c r="M278" s="45">
        <f t="shared" si="128"/>
        <v>0</v>
      </c>
      <c r="N278" s="45">
        <f t="shared" si="128"/>
        <v>0</v>
      </c>
      <c r="O278" s="45">
        <f t="shared" si="126"/>
        <v>0</v>
      </c>
      <c r="P278" s="45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9" hidden="1">
      <c r="A279" s="155"/>
      <c r="B279" s="40"/>
      <c r="C279" s="40"/>
      <c r="D279" s="40"/>
      <c r="E279" s="41" t="s">
        <v>19</v>
      </c>
      <c r="F279" s="40"/>
      <c r="G279" s="156"/>
      <c r="H279" s="157" t="s">
        <v>12</v>
      </c>
      <c r="I279" s="44"/>
      <c r="J279" s="44"/>
      <c r="K279" s="45"/>
      <c r="L279" s="45">
        <f t="shared" ca="1" si="128"/>
        <v>0</v>
      </c>
      <c r="M279" s="45">
        <f t="shared" ca="1" si="128"/>
        <v>0</v>
      </c>
      <c r="N279" s="45">
        <f t="shared" ca="1" si="128"/>
        <v>0</v>
      </c>
      <c r="O279" s="45">
        <f t="shared" ca="1" si="126"/>
        <v>0</v>
      </c>
      <c r="P279" s="45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9" hidden="1">
      <c r="A280" s="158"/>
      <c r="B280" s="33"/>
      <c r="C280" s="159"/>
      <c r="D280" s="34" t="s">
        <v>20</v>
      </c>
      <c r="E280" s="33"/>
      <c r="F280" s="33"/>
      <c r="G280" s="35"/>
      <c r="H280" s="160" t="s">
        <v>12</v>
      </c>
      <c r="I280" s="161"/>
      <c r="J280" s="161"/>
      <c r="K280" s="162"/>
      <c r="L280" s="38">
        <f t="shared" ref="L280:N280" ca="1" si="129">L281+L282</f>
        <v>0</v>
      </c>
      <c r="M280" s="38">
        <f t="shared" ca="1" si="129"/>
        <v>0</v>
      </c>
      <c r="N280" s="38">
        <f t="shared" ca="1" si="129"/>
        <v>0</v>
      </c>
      <c r="O280" s="38">
        <f t="shared" ca="1" si="126"/>
        <v>0</v>
      </c>
      <c r="P280" s="3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" hidden="1">
      <c r="A281" s="155"/>
      <c r="B281" s="40"/>
      <c r="C281" s="163"/>
      <c r="D281" s="40"/>
      <c r="E281" s="41" t="s">
        <v>36</v>
      </c>
      <c r="F281" s="40"/>
      <c r="G281" s="156"/>
      <c r="H281" s="164" t="s">
        <v>12</v>
      </c>
      <c r="I281" s="165"/>
      <c r="J281" s="165"/>
      <c r="K281" s="166"/>
      <c r="L281" s="45">
        <v>0</v>
      </c>
      <c r="M281" s="45">
        <v>0</v>
      </c>
      <c r="N281" s="45">
        <v>0</v>
      </c>
      <c r="O281" s="45">
        <f t="shared" si="126"/>
        <v>0</v>
      </c>
      <c r="P281" s="45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" hidden="1">
      <c r="A282" s="155"/>
      <c r="B282" s="40"/>
      <c r="C282" s="163"/>
      <c r="D282" s="40"/>
      <c r="E282" s="41" t="s">
        <v>37</v>
      </c>
      <c r="F282" s="40"/>
      <c r="G282" s="156"/>
      <c r="H282" s="164" t="s">
        <v>12</v>
      </c>
      <c r="I282" s="165"/>
      <c r="J282" s="165"/>
      <c r="K282" s="166"/>
      <c r="L282" s="45">
        <f ca="1">IFERROR(__xludf.DUMMYFUNCTION("IMPORTRANGE(""https://docs.google.com/spreadsheets/d/1MeEWN-I1oV_STSDYn1IFDPWt_1FKiwhDph83XaGc0o0/edit?usp=sharing"",""งบพรบ!DI82"")"),0)</f>
        <v>0</v>
      </c>
      <c r="M282" s="45">
        <f ca="1">IFERROR(__xludf.DUMMYFUNCTION("IMPORTRANGE(""https://docs.google.com/spreadsheets/d/1MeEWN-I1oV_STSDYn1IFDPWt_1FKiwhDph83XaGc0o0/edit?usp=sharing"",""งบพรบ!DN82"")"),0)</f>
        <v>0</v>
      </c>
      <c r="N282" s="45">
        <f ca="1">IFERROR(__xludf.DUMMYFUNCTION("IMPORTRANGE(""https://docs.google.com/spreadsheets/d/1MeEWN-I1oV_STSDYn1IFDPWt_1FKiwhDph83XaGc0o0/edit?usp=sharing"",""งบพรบ!DP82"")"),0)</f>
        <v>0</v>
      </c>
      <c r="O282" s="45">
        <f t="shared" ca="1" si="126"/>
        <v>0</v>
      </c>
      <c r="P282" s="45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9" hidden="1">
      <c r="A283" s="158"/>
      <c r="B283" s="33"/>
      <c r="C283" s="159"/>
      <c r="D283" s="34" t="s">
        <v>21</v>
      </c>
      <c r="E283" s="33"/>
      <c r="F283" s="33"/>
      <c r="G283" s="35"/>
      <c r="H283" s="167" t="s">
        <v>12</v>
      </c>
      <c r="I283" s="161"/>
      <c r="J283" s="161"/>
      <c r="K283" s="162"/>
      <c r="L283" s="38">
        <f t="shared" ref="L283:N283" ca="1" si="130">L284+L285</f>
        <v>0</v>
      </c>
      <c r="M283" s="38">
        <f t="shared" ca="1" si="130"/>
        <v>0</v>
      </c>
      <c r="N283" s="38">
        <f t="shared" ca="1" si="130"/>
        <v>0</v>
      </c>
      <c r="O283" s="38">
        <f t="shared" ca="1" si="126"/>
        <v>0</v>
      </c>
      <c r="P283" s="3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" hidden="1">
      <c r="A284" s="155"/>
      <c r="B284" s="40"/>
      <c r="C284" s="163"/>
      <c r="D284" s="40"/>
      <c r="E284" s="41" t="s">
        <v>18</v>
      </c>
      <c r="F284" s="40"/>
      <c r="G284" s="156"/>
      <c r="H284" s="164" t="s">
        <v>12</v>
      </c>
      <c r="I284" s="165"/>
      <c r="J284" s="165"/>
      <c r="K284" s="166"/>
      <c r="L284" s="45">
        <v>0</v>
      </c>
      <c r="M284" s="45">
        <v>0</v>
      </c>
      <c r="N284" s="45">
        <v>0</v>
      </c>
      <c r="O284" s="45">
        <f t="shared" si="126"/>
        <v>0</v>
      </c>
      <c r="P284" s="45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" hidden="1">
      <c r="A285" s="155"/>
      <c r="B285" s="40"/>
      <c r="C285" s="163"/>
      <c r="D285" s="40"/>
      <c r="E285" s="41" t="s">
        <v>19</v>
      </c>
      <c r="F285" s="40"/>
      <c r="G285" s="156"/>
      <c r="H285" s="168" t="s">
        <v>12</v>
      </c>
      <c r="I285" s="165"/>
      <c r="J285" s="165"/>
      <c r="K285" s="166"/>
      <c r="L285" s="45">
        <f ca="1">IFERROR(__xludf.DUMMYFUNCTION("IMPORTRANGE(""https://docs.google.com/spreadsheets/d/1MeEWN-I1oV_STSDYn1IFDPWt_1FKiwhDph83XaGc0o0/edit?usp=sharing"",""งบพรบ!DL82"")"),0)</f>
        <v>0</v>
      </c>
      <c r="M285" s="45">
        <f ca="1">IFERROR(__xludf.DUMMYFUNCTION("IMPORTRANGE(""https://docs.google.com/spreadsheets/d/1MeEWN-I1oV_STSDYn1IFDPWt_1FKiwhDph83XaGc0o0/edit?usp=sharing"",""งบพรบ!DO82"")"),0)</f>
        <v>0</v>
      </c>
      <c r="N285" s="45">
        <f ca="1">IFERROR(__xludf.DUMMYFUNCTION("IMPORTRANGE(""https://docs.google.com/spreadsheets/d/1MeEWN-I1oV_STSDYn1IFDPWt_1FKiwhDph83XaGc0o0/edit?usp=sharing"",""งบพรบ!DQ82"")"),0)</f>
        <v>0</v>
      </c>
      <c r="O285" s="45">
        <f t="shared" ca="1" si="126"/>
        <v>0</v>
      </c>
      <c r="P285" s="45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" hidden="1">
      <c r="A286" s="169"/>
      <c r="B286" s="170"/>
      <c r="C286" s="163" t="s">
        <v>16</v>
      </c>
      <c r="D286" s="796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19" hidden="1">
      <c r="A287" s="169"/>
      <c r="B287" s="170"/>
      <c r="C287" s="170"/>
      <c r="D287" s="184" t="s">
        <v>129</v>
      </c>
      <c r="E287" s="170"/>
      <c r="F287" s="177"/>
      <c r="G287" s="178"/>
      <c r="H287" s="182" t="s">
        <v>46</v>
      </c>
      <c r="I287" s="37">
        <f ca="1">IFERROR(__xludf.DUMMYFUNCTION("IMPORTRANGE(""https://docs.google.com/spreadsheets/d/1QqKyyYR6Q21VydFLVH3TRQUabQu_ym0Zz7PgGX0-kHA/edit?usp=sharing"",""แผน!EC82"")"),0)</f>
        <v>0</v>
      </c>
      <c r="J287" s="37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" hidden="1">
      <c r="A288" s="169"/>
      <c r="B288" s="170"/>
      <c r="C288" s="170"/>
      <c r="D288" s="184" t="s">
        <v>130</v>
      </c>
      <c r="E288" s="170"/>
      <c r="F288" s="177"/>
      <c r="G288" s="178"/>
      <c r="H288" s="179" t="s">
        <v>35</v>
      </c>
      <c r="I288" s="190">
        <f ca="1">IFERROR(__xludf.DUMMYFUNCTION("IMPORTRANGE(""https://docs.google.com/spreadsheets/d/1QqKyyYR6Q21VydFLVH3TRQUabQu_ym0Zz7PgGX0-kHA/edit?usp=sharing"",""แผน!EB82"")"),0)</f>
        <v>0</v>
      </c>
      <c r="J288" s="190">
        <f ca="1">IF(AND(J291&gt;=I288,J294&gt;=I288),J294,0)</f>
        <v>0</v>
      </c>
      <c r="K288" s="391">
        <f t="shared" ca="1" si="131"/>
        <v>0</v>
      </c>
      <c r="L288" s="162"/>
      <c r="M288" s="162"/>
      <c r="N288" s="162"/>
      <c r="O288" s="162"/>
      <c r="P288" s="162"/>
    </row>
    <row r="289" spans="1:26" ht="19" hidden="1">
      <c r="A289" s="169"/>
      <c r="B289" s="170"/>
      <c r="C289" s="170"/>
      <c r="D289" s="392"/>
      <c r="E289" s="393" t="s">
        <v>131</v>
      </c>
      <c r="F289" s="177"/>
      <c r="G289" s="178"/>
      <c r="H289" s="180"/>
      <c r="I289" s="161"/>
      <c r="J289" s="37"/>
      <c r="K289" s="162"/>
      <c r="L289" s="162"/>
      <c r="M289" s="162"/>
      <c r="N289" s="162"/>
      <c r="O289" s="162"/>
      <c r="P289" s="162"/>
    </row>
    <row r="290" spans="1:26" ht="19" hidden="1">
      <c r="A290" s="169"/>
      <c r="B290" s="170"/>
      <c r="C290" s="170"/>
      <c r="D290" s="392"/>
      <c r="E290" s="184" t="s">
        <v>132</v>
      </c>
      <c r="F290" s="177"/>
      <c r="G290" s="178"/>
      <c r="H290" s="180" t="s">
        <v>35</v>
      </c>
      <c r="I290" s="161">
        <f ca="1">IFERROR(__xludf.DUMMYFUNCTION("IMPORTRANGE(""https://docs.google.com/spreadsheets/d/1QqKyyYR6Q21VydFLVH3TRQUabQu_ym0Zz7PgGX0-kHA/edit?usp=sharing"",""แผน!EB82"")"),0)</f>
        <v>0</v>
      </c>
      <c r="J290" s="181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" hidden="1">
      <c r="A291" s="169"/>
      <c r="B291" s="170"/>
      <c r="C291" s="170"/>
      <c r="D291" s="177"/>
      <c r="E291" s="184" t="s">
        <v>337</v>
      </c>
      <c r="F291" s="177"/>
      <c r="G291" s="178"/>
      <c r="H291" s="180" t="s">
        <v>35</v>
      </c>
      <c r="I291" s="161">
        <f ca="1">IFERROR(__xludf.DUMMYFUNCTION("IMPORTRANGE(""https://docs.google.com/spreadsheets/d/1QqKyyYR6Q21VydFLVH3TRQUabQu_ym0Zz7PgGX0-kHA/edit?usp=sharing"",""แผน!EB82"")"),0)</f>
        <v>0</v>
      </c>
      <c r="J291" s="181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" hidden="1">
      <c r="A292" s="394"/>
      <c r="B292" s="395"/>
      <c r="C292" s="395"/>
      <c r="D292" s="396"/>
      <c r="E292" s="397" t="s">
        <v>134</v>
      </c>
      <c r="F292" s="273"/>
      <c r="G292" s="274"/>
      <c r="H292" s="398"/>
      <c r="I292" s="267"/>
      <c r="J292" s="152"/>
      <c r="K292" s="268"/>
      <c r="L292" s="268"/>
      <c r="M292" s="268"/>
      <c r="N292" s="268"/>
      <c r="O292" s="268"/>
      <c r="P292" s="268"/>
    </row>
    <row r="293" spans="1:26" ht="19" hidden="1">
      <c r="A293" s="169"/>
      <c r="B293" s="170"/>
      <c r="C293" s="170"/>
      <c r="D293" s="392"/>
      <c r="E293" s="184" t="s">
        <v>132</v>
      </c>
      <c r="F293" s="177"/>
      <c r="G293" s="178"/>
      <c r="H293" s="180" t="s">
        <v>35</v>
      </c>
      <c r="I293" s="161">
        <f ca="1">IFERROR(__xludf.DUMMYFUNCTION("IMPORTRANGE(""https://docs.google.com/spreadsheets/d/1QqKyyYR6Q21VydFLVH3TRQUabQu_ym0Zz7PgGX0-kHA/edit?usp=sharing"",""แผน!EB82"")"),0)</f>
        <v>0</v>
      </c>
      <c r="J293" s="181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" hidden="1">
      <c r="A294" s="360"/>
      <c r="B294" s="361"/>
      <c r="C294" s="361"/>
      <c r="D294" s="363"/>
      <c r="E294" s="399" t="s">
        <v>337</v>
      </c>
      <c r="F294" s="363"/>
      <c r="G294" s="364"/>
      <c r="H294" s="400" t="s">
        <v>35</v>
      </c>
      <c r="I294" s="401">
        <f ca="1">IFERROR(__xludf.DUMMYFUNCTION("IMPORTRANGE(""https://docs.google.com/spreadsheets/d/1QqKyyYR6Q21VydFLVH3TRQUabQu_ym0Zz7PgGX0-kHA/edit?usp=sharing"",""แผน!EB82"")"),0)</f>
        <v>0</v>
      </c>
      <c r="J294" s="57">
        <v>0</v>
      </c>
      <c r="K294" s="366">
        <f t="shared" ca="1" si="133"/>
        <v>0</v>
      </c>
      <c r="L294" s="366"/>
      <c r="M294" s="366"/>
      <c r="N294" s="366"/>
      <c r="O294" s="366"/>
      <c r="P294" s="366"/>
    </row>
    <row r="295" spans="1:26" ht="19">
      <c r="A295" s="402" t="s">
        <v>137</v>
      </c>
      <c r="B295" s="403"/>
      <c r="C295" s="403"/>
      <c r="D295" s="403"/>
      <c r="E295" s="404"/>
      <c r="F295" s="404"/>
      <c r="G295" s="405"/>
      <c r="H295" s="406"/>
      <c r="I295" s="407"/>
      <c r="J295" s="407"/>
      <c r="K295" s="408"/>
      <c r="L295" s="408"/>
      <c r="M295" s="408"/>
      <c r="N295" s="408"/>
      <c r="O295" s="408"/>
      <c r="P295" s="408"/>
    </row>
    <row r="296" spans="1:26" ht="19">
      <c r="A296" s="409" t="s">
        <v>138</v>
      </c>
      <c r="B296" s="410"/>
      <c r="C296" s="410"/>
      <c r="D296" s="411"/>
      <c r="E296" s="411"/>
      <c r="F296" s="411"/>
      <c r="G296" s="412"/>
      <c r="H296" s="413"/>
      <c r="I296" s="414"/>
      <c r="J296" s="414"/>
      <c r="K296" s="415"/>
      <c r="L296" s="415"/>
      <c r="M296" s="415"/>
      <c r="N296" s="415"/>
      <c r="O296" s="415"/>
      <c r="P296" s="415"/>
    </row>
    <row r="297" spans="1:26" ht="19">
      <c r="A297" s="416"/>
      <c r="B297" s="417" t="s">
        <v>139</v>
      </c>
      <c r="C297" s="418"/>
      <c r="D297" s="418"/>
      <c r="E297" s="418"/>
      <c r="F297" s="418"/>
      <c r="G297" s="419"/>
      <c r="H297" s="420" t="s">
        <v>35</v>
      </c>
      <c r="I297" s="421">
        <f t="shared" ref="I297:J297" ca="1" si="134">I309</f>
        <v>20</v>
      </c>
      <c r="J297" s="421">
        <f t="shared" si="134"/>
        <v>20</v>
      </c>
      <c r="K297" s="422">
        <f ca="1">IF(I297&gt;0,J297*100/I297,0)</f>
        <v>100</v>
      </c>
      <c r="L297" s="423"/>
      <c r="M297" s="423"/>
      <c r="N297" s="423"/>
      <c r="O297" s="423"/>
      <c r="P297" s="423"/>
    </row>
    <row r="298" spans="1:26" ht="19">
      <c r="A298" s="146"/>
      <c r="B298" s="147"/>
      <c r="C298" s="148" t="s">
        <v>16</v>
      </c>
      <c r="D298" s="795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35">L299+L300</f>
        <v>82400</v>
      </c>
      <c r="M298" s="154">
        <f t="shared" ca="1" si="135"/>
        <v>82400</v>
      </c>
      <c r="N298" s="154">
        <f t="shared" ca="1" si="135"/>
        <v>82400</v>
      </c>
      <c r="O298" s="154">
        <f t="shared" ref="O298:O306" ca="1" si="136">IF(L298&gt;0,N298*100/L298,0)</f>
        <v>100</v>
      </c>
      <c r="P298" s="154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9" hidden="1">
      <c r="A299" s="155"/>
      <c r="B299" s="40"/>
      <c r="C299" s="40"/>
      <c r="D299" s="40"/>
      <c r="E299" s="41" t="s">
        <v>18</v>
      </c>
      <c r="F299" s="40"/>
      <c r="G299" s="156"/>
      <c r="H299" s="157" t="s">
        <v>12</v>
      </c>
      <c r="I299" s="44"/>
      <c r="J299" s="44"/>
      <c r="K299" s="45"/>
      <c r="L299" s="45">
        <f t="shared" ref="L299:N300" si="138">L302+L305</f>
        <v>0</v>
      </c>
      <c r="M299" s="45">
        <f t="shared" si="138"/>
        <v>0</v>
      </c>
      <c r="N299" s="45">
        <f t="shared" si="138"/>
        <v>0</v>
      </c>
      <c r="O299" s="45">
        <f t="shared" si="136"/>
        <v>0</v>
      </c>
      <c r="P299" s="45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9" hidden="1">
      <c r="A300" s="155"/>
      <c r="B300" s="40"/>
      <c r="C300" s="40"/>
      <c r="D300" s="40"/>
      <c r="E300" s="41" t="s">
        <v>19</v>
      </c>
      <c r="F300" s="40"/>
      <c r="G300" s="156"/>
      <c r="H300" s="157" t="s">
        <v>12</v>
      </c>
      <c r="I300" s="44"/>
      <c r="J300" s="44"/>
      <c r="K300" s="45"/>
      <c r="L300" s="45">
        <f t="shared" ca="1" si="138"/>
        <v>82400</v>
      </c>
      <c r="M300" s="45">
        <f t="shared" ca="1" si="138"/>
        <v>82400</v>
      </c>
      <c r="N300" s="45">
        <f t="shared" ca="1" si="138"/>
        <v>82400</v>
      </c>
      <c r="O300" s="45">
        <f t="shared" ca="1" si="136"/>
        <v>100</v>
      </c>
      <c r="P300" s="45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9">
      <c r="A301" s="158"/>
      <c r="B301" s="33"/>
      <c r="C301" s="159"/>
      <c r="D301" s="34" t="s">
        <v>20</v>
      </c>
      <c r="E301" s="33"/>
      <c r="F301" s="33"/>
      <c r="G301" s="35"/>
      <c r="H301" s="160" t="s">
        <v>12</v>
      </c>
      <c r="I301" s="161"/>
      <c r="J301" s="161"/>
      <c r="K301" s="162"/>
      <c r="L301" s="38">
        <f t="shared" ref="L301:N301" ca="1" si="139">L302+L303</f>
        <v>82400</v>
      </c>
      <c r="M301" s="38">
        <f t="shared" ca="1" si="139"/>
        <v>82400</v>
      </c>
      <c r="N301" s="38">
        <f t="shared" ca="1" si="139"/>
        <v>82400</v>
      </c>
      <c r="O301" s="38">
        <f t="shared" ca="1" si="136"/>
        <v>100</v>
      </c>
      <c r="P301" s="3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" hidden="1">
      <c r="A302" s="155"/>
      <c r="B302" s="40"/>
      <c r="C302" s="163"/>
      <c r="D302" s="40"/>
      <c r="E302" s="41" t="s">
        <v>36</v>
      </c>
      <c r="F302" s="40"/>
      <c r="G302" s="156"/>
      <c r="H302" s="164" t="s">
        <v>12</v>
      </c>
      <c r="I302" s="165"/>
      <c r="J302" s="165"/>
      <c r="K302" s="166"/>
      <c r="L302" s="45">
        <v>0</v>
      </c>
      <c r="M302" s="45">
        <v>0</v>
      </c>
      <c r="N302" s="45">
        <v>0</v>
      </c>
      <c r="O302" s="45">
        <f t="shared" si="136"/>
        <v>0</v>
      </c>
      <c r="P302" s="45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" hidden="1">
      <c r="A303" s="155"/>
      <c r="B303" s="40"/>
      <c r="C303" s="163"/>
      <c r="D303" s="40"/>
      <c r="E303" s="41" t="s">
        <v>37</v>
      </c>
      <c r="F303" s="40"/>
      <c r="G303" s="156"/>
      <c r="H303" s="164" t="s">
        <v>12</v>
      </c>
      <c r="I303" s="165"/>
      <c r="J303" s="165"/>
      <c r="K303" s="166"/>
      <c r="L303" s="45">
        <f ca="1">IFERROR(__xludf.DUMMYFUNCTION("IMPORTRANGE(""https://docs.google.com/spreadsheets/d/1MeEWN-I1oV_STSDYn1IFDPWt_1FKiwhDph83XaGc0o0/edit?usp=sharing"",""งบพรบ!DS82"")"),82400)</f>
        <v>82400</v>
      </c>
      <c r="M303" s="45">
        <f ca="1">IFERROR(__xludf.DUMMYFUNCTION("IMPORTRANGE(""https://docs.google.com/spreadsheets/d/1MeEWN-I1oV_STSDYn1IFDPWt_1FKiwhDph83XaGc0o0/edit?usp=sharing"",""งบพรบ!DX82"")"),82400)</f>
        <v>82400</v>
      </c>
      <c r="N303" s="45">
        <f ca="1">IFERROR(__xludf.DUMMYFUNCTION("IMPORTRANGE(""https://docs.google.com/spreadsheets/d/1MeEWN-I1oV_STSDYn1IFDPWt_1FKiwhDph83XaGc0o0/edit?usp=sharing"",""งบพรบ!DZ82"")"),82400)</f>
        <v>82400</v>
      </c>
      <c r="O303" s="45">
        <f t="shared" ca="1" si="136"/>
        <v>100</v>
      </c>
      <c r="P303" s="45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9">
      <c r="A304" s="158"/>
      <c r="B304" s="33"/>
      <c r="C304" s="159"/>
      <c r="D304" s="34" t="s">
        <v>21</v>
      </c>
      <c r="E304" s="33"/>
      <c r="F304" s="33"/>
      <c r="G304" s="35"/>
      <c r="H304" s="167" t="s">
        <v>12</v>
      </c>
      <c r="I304" s="161"/>
      <c r="J304" s="161"/>
      <c r="K304" s="162"/>
      <c r="L304" s="38">
        <f t="shared" ref="L304:N304" ca="1" si="140">L305+L306</f>
        <v>0</v>
      </c>
      <c r="M304" s="38">
        <f t="shared" ca="1" si="140"/>
        <v>0</v>
      </c>
      <c r="N304" s="38">
        <f t="shared" ca="1" si="140"/>
        <v>0</v>
      </c>
      <c r="O304" s="38">
        <f t="shared" ca="1" si="136"/>
        <v>0</v>
      </c>
      <c r="P304" s="3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" hidden="1">
      <c r="A305" s="155"/>
      <c r="B305" s="40"/>
      <c r="C305" s="163"/>
      <c r="D305" s="40"/>
      <c r="E305" s="41" t="s">
        <v>18</v>
      </c>
      <c r="F305" s="40"/>
      <c r="G305" s="156"/>
      <c r="H305" s="164" t="s">
        <v>12</v>
      </c>
      <c r="I305" s="165"/>
      <c r="J305" s="165"/>
      <c r="K305" s="166"/>
      <c r="L305" s="45">
        <v>0</v>
      </c>
      <c r="M305" s="45">
        <v>0</v>
      </c>
      <c r="N305" s="45">
        <v>0</v>
      </c>
      <c r="O305" s="45">
        <f t="shared" si="136"/>
        <v>0</v>
      </c>
      <c r="P305" s="45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" hidden="1">
      <c r="A306" s="155"/>
      <c r="B306" s="40"/>
      <c r="C306" s="163"/>
      <c r="D306" s="40"/>
      <c r="E306" s="41" t="s">
        <v>19</v>
      </c>
      <c r="F306" s="40"/>
      <c r="G306" s="156"/>
      <c r="H306" s="168" t="s">
        <v>12</v>
      </c>
      <c r="I306" s="165"/>
      <c r="J306" s="165"/>
      <c r="K306" s="166"/>
      <c r="L306" s="45">
        <f ca="1">IFERROR(__xludf.DUMMYFUNCTION("IMPORTRANGE(""https://docs.google.com/spreadsheets/d/1MeEWN-I1oV_STSDYn1IFDPWt_1FKiwhDph83XaGc0o0/edit?usp=sharing"",""งบพรบ!DV82"")"),0)</f>
        <v>0</v>
      </c>
      <c r="M306" s="45">
        <f ca="1">IFERROR(__xludf.DUMMYFUNCTION("IMPORTRANGE(""https://docs.google.com/spreadsheets/d/1MeEWN-I1oV_STSDYn1IFDPWt_1FKiwhDph83XaGc0o0/edit?usp=sharing"",""งบพรบ!DY82"")"),0)</f>
        <v>0</v>
      </c>
      <c r="N306" s="45">
        <f ca="1">IFERROR(__xludf.DUMMYFUNCTION("IMPORTRANGE(""https://docs.google.com/spreadsheets/d/1MeEWN-I1oV_STSDYn1IFDPWt_1FKiwhDph83XaGc0o0/edit?usp=sharing"",""งบพรบ!EA82"")"),0)</f>
        <v>0</v>
      </c>
      <c r="O306" s="45">
        <f t="shared" ca="1" si="136"/>
        <v>0</v>
      </c>
      <c r="P306" s="45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">
      <c r="A307" s="169"/>
      <c r="B307" s="170"/>
      <c r="C307" s="163" t="s">
        <v>16</v>
      </c>
      <c r="D307" s="796" t="s">
        <v>38</v>
      </c>
      <c r="E307" s="172"/>
      <c r="F307" s="172"/>
      <c r="G307" s="173"/>
      <c r="H307" s="174"/>
      <c r="I307" s="37"/>
      <c r="J307" s="37"/>
      <c r="K307" s="38"/>
      <c r="L307" s="38"/>
      <c r="M307" s="38"/>
      <c r="N307" s="38"/>
      <c r="O307" s="38"/>
      <c r="P307" s="38"/>
    </row>
    <row r="308" spans="1:26" ht="19">
      <c r="A308" s="169"/>
      <c r="B308" s="170"/>
      <c r="C308" s="170"/>
      <c r="D308" s="176" t="s">
        <v>140</v>
      </c>
      <c r="E308" s="176"/>
      <c r="F308" s="176"/>
      <c r="G308" s="178"/>
      <c r="H308" s="180"/>
      <c r="I308" s="37"/>
      <c r="J308" s="181">
        <v>0</v>
      </c>
      <c r="K308" s="38"/>
      <c r="L308" s="38"/>
      <c r="M308" s="38"/>
      <c r="N308" s="38"/>
      <c r="O308" s="38"/>
      <c r="P308" s="38"/>
    </row>
    <row r="309" spans="1:26" ht="19">
      <c r="A309" s="169"/>
      <c r="B309" s="170"/>
      <c r="C309" s="170"/>
      <c r="D309" s="176" t="s">
        <v>141</v>
      </c>
      <c r="E309" s="176"/>
      <c r="F309" s="176"/>
      <c r="G309" s="178"/>
      <c r="H309" s="180" t="s">
        <v>35</v>
      </c>
      <c r="I309" s="37">
        <f ca="1">IFERROR(__xludf.DUMMYFUNCTION("IMPORTRANGE(""https://docs.google.com/spreadsheets/d/1QqKyyYR6Q21VydFLVH3TRQUabQu_ym0Zz7PgGX0-kHA/edit?usp=sharing"",""แผน!ED82"")"),20)</f>
        <v>20</v>
      </c>
      <c r="J309" s="181">
        <v>20</v>
      </c>
      <c r="K309" s="38">
        <f t="shared" ref="K309:K312" ca="1" si="141">IF(I309&gt;0,J309*100/I309,0)</f>
        <v>100</v>
      </c>
      <c r="L309" s="38"/>
      <c r="M309" s="38"/>
      <c r="N309" s="38"/>
      <c r="O309" s="38"/>
      <c r="P309" s="38"/>
    </row>
    <row r="310" spans="1:26" ht="19">
      <c r="A310" s="169"/>
      <c r="B310" s="170"/>
      <c r="C310" s="170"/>
      <c r="D310" s="176" t="s">
        <v>142</v>
      </c>
      <c r="E310" s="176"/>
      <c r="F310" s="176"/>
      <c r="G310" s="178"/>
      <c r="H310" s="180" t="s">
        <v>35</v>
      </c>
      <c r="I310" s="37">
        <f ca="1">IFERROR(__xludf.DUMMYFUNCTION("IMPORTRANGE(""https://docs.google.com/spreadsheets/d/1QqKyyYR6Q21VydFLVH3TRQUabQu_ym0Zz7PgGX0-kHA/edit?usp=sharing"",""แผน!ED82"")"),20)</f>
        <v>20</v>
      </c>
      <c r="J310" s="181">
        <v>20</v>
      </c>
      <c r="K310" s="38">
        <f t="shared" ca="1" si="141"/>
        <v>100</v>
      </c>
      <c r="L310" s="38"/>
      <c r="M310" s="38"/>
      <c r="N310" s="38"/>
      <c r="O310" s="38"/>
      <c r="P310" s="38"/>
    </row>
    <row r="311" spans="1:26" ht="19">
      <c r="A311" s="169"/>
      <c r="B311" s="170"/>
      <c r="C311" s="170"/>
      <c r="D311" s="176" t="s">
        <v>59</v>
      </c>
      <c r="E311" s="176"/>
      <c r="F311" s="176"/>
      <c r="G311" s="178"/>
      <c r="H311" s="180" t="s">
        <v>35</v>
      </c>
      <c r="I311" s="37">
        <f ca="1">IFERROR(__xludf.DUMMYFUNCTION("IMPORTRANGE(""https://docs.google.com/spreadsheets/d/1QqKyyYR6Q21VydFLVH3TRQUabQu_ym0Zz7PgGX0-kHA/edit?usp=sharing"",""แผน!ED82"")"),20)</f>
        <v>20</v>
      </c>
      <c r="J311" s="181">
        <v>0</v>
      </c>
      <c r="K311" s="38">
        <f t="shared" ca="1" si="141"/>
        <v>0</v>
      </c>
      <c r="L311" s="38"/>
      <c r="M311" s="38"/>
      <c r="N311" s="38"/>
      <c r="O311" s="38"/>
      <c r="P311" s="38"/>
    </row>
    <row r="312" spans="1:26" ht="19">
      <c r="A312" s="169"/>
      <c r="B312" s="170"/>
      <c r="C312" s="170"/>
      <c r="D312" s="176" t="s">
        <v>143</v>
      </c>
      <c r="E312" s="176"/>
      <c r="F312" s="176"/>
      <c r="G312" s="178"/>
      <c r="H312" s="180" t="s">
        <v>35</v>
      </c>
      <c r="I312" s="37">
        <f ca="1">IFERROR(__xludf.DUMMYFUNCTION("IMPORTRANGE(""https://docs.google.com/spreadsheets/d/1QqKyyYR6Q21VydFLVH3TRQUabQu_ym0Zz7PgGX0-kHA/edit?usp=sharing"",""แผน!EE82"")"),4)</f>
        <v>4</v>
      </c>
      <c r="J312" s="181">
        <v>0</v>
      </c>
      <c r="K312" s="38">
        <f t="shared" ca="1" si="141"/>
        <v>0</v>
      </c>
      <c r="L312" s="38"/>
      <c r="M312" s="38"/>
      <c r="N312" s="38"/>
      <c r="O312" s="38"/>
      <c r="P312" s="38"/>
    </row>
    <row r="313" spans="1:26" ht="19" hidden="1">
      <c r="A313" s="409" t="s">
        <v>144</v>
      </c>
      <c r="B313" s="410"/>
      <c r="C313" s="410"/>
      <c r="D313" s="411"/>
      <c r="E313" s="410"/>
      <c r="F313" s="410"/>
      <c r="G313" s="410"/>
      <c r="H313" s="424"/>
      <c r="I313" s="414"/>
      <c r="J313" s="414"/>
      <c r="K313" s="415"/>
      <c r="L313" s="415"/>
      <c r="M313" s="415"/>
      <c r="N313" s="415"/>
      <c r="O313" s="415"/>
      <c r="P313" s="415"/>
    </row>
    <row r="314" spans="1:26" ht="19" hidden="1">
      <c r="A314" s="425"/>
      <c r="B314" s="417" t="s">
        <v>145</v>
      </c>
      <c r="C314" s="426"/>
      <c r="D314" s="427"/>
      <c r="E314" s="418"/>
      <c r="F314" s="418"/>
      <c r="G314" s="419"/>
      <c r="H314" s="420" t="s">
        <v>146</v>
      </c>
      <c r="I314" s="421">
        <f t="shared" ref="I314:J314" ca="1" si="142">I325</f>
        <v>0</v>
      </c>
      <c r="J314" s="421">
        <f t="shared" si="142"/>
        <v>0</v>
      </c>
      <c r="K314" s="422">
        <f ca="1">IF(I314&gt;0,J314*100/I314,0)</f>
        <v>0</v>
      </c>
      <c r="L314" s="423"/>
      <c r="M314" s="423"/>
      <c r="N314" s="423"/>
      <c r="O314" s="423"/>
      <c r="P314" s="423"/>
    </row>
    <row r="315" spans="1:26" ht="19" hidden="1">
      <c r="A315" s="146"/>
      <c r="B315" s="147"/>
      <c r="C315" s="148" t="s">
        <v>16</v>
      </c>
      <c r="D315" s="795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9" hidden="1">
      <c r="A316" s="155"/>
      <c r="B316" s="40"/>
      <c r="C316" s="40"/>
      <c r="D316" s="40"/>
      <c r="E316" s="41" t="s">
        <v>18</v>
      </c>
      <c r="F316" s="40"/>
      <c r="G316" s="156"/>
      <c r="H316" s="157" t="s">
        <v>12</v>
      </c>
      <c r="I316" s="44"/>
      <c r="J316" s="44"/>
      <c r="K316" s="45"/>
      <c r="L316" s="45">
        <f t="shared" ref="L316:N317" si="146">L319+L322</f>
        <v>0</v>
      </c>
      <c r="M316" s="45">
        <f t="shared" si="146"/>
        <v>0</v>
      </c>
      <c r="N316" s="45">
        <f t="shared" si="146"/>
        <v>0</v>
      </c>
      <c r="O316" s="45">
        <f t="shared" si="144"/>
        <v>0</v>
      </c>
      <c r="P316" s="45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9" hidden="1">
      <c r="A317" s="155"/>
      <c r="B317" s="40"/>
      <c r="C317" s="40"/>
      <c r="D317" s="40"/>
      <c r="E317" s="41" t="s">
        <v>19</v>
      </c>
      <c r="F317" s="40"/>
      <c r="G317" s="156"/>
      <c r="H317" s="157" t="s">
        <v>12</v>
      </c>
      <c r="I317" s="44"/>
      <c r="J317" s="44"/>
      <c r="K317" s="45"/>
      <c r="L317" s="45">
        <f t="shared" ca="1" si="146"/>
        <v>0</v>
      </c>
      <c r="M317" s="45">
        <f t="shared" ca="1" si="146"/>
        <v>0</v>
      </c>
      <c r="N317" s="45">
        <f t="shared" ca="1" si="146"/>
        <v>0</v>
      </c>
      <c r="O317" s="45">
        <f t="shared" ca="1" si="144"/>
        <v>0</v>
      </c>
      <c r="P317" s="45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9" hidden="1">
      <c r="A318" s="158"/>
      <c r="B318" s="33"/>
      <c r="C318" s="159"/>
      <c r="D318" s="34" t="s">
        <v>20</v>
      </c>
      <c r="E318" s="33"/>
      <c r="F318" s="33"/>
      <c r="G318" s="35"/>
      <c r="H318" s="160" t="s">
        <v>12</v>
      </c>
      <c r="I318" s="161"/>
      <c r="J318" s="161"/>
      <c r="K318" s="162"/>
      <c r="L318" s="38">
        <f t="shared" ref="L318:N318" ca="1" si="147">L319+L320</f>
        <v>0</v>
      </c>
      <c r="M318" s="38">
        <f t="shared" ca="1" si="147"/>
        <v>0</v>
      </c>
      <c r="N318" s="38">
        <f t="shared" ca="1" si="147"/>
        <v>0</v>
      </c>
      <c r="O318" s="38">
        <f t="shared" ca="1" si="144"/>
        <v>0</v>
      </c>
      <c r="P318" s="3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" hidden="1">
      <c r="A319" s="155"/>
      <c r="B319" s="40"/>
      <c r="C319" s="163"/>
      <c r="D319" s="40"/>
      <c r="E319" s="41" t="s">
        <v>36</v>
      </c>
      <c r="F319" s="40"/>
      <c r="G319" s="156"/>
      <c r="H319" s="164" t="s">
        <v>12</v>
      </c>
      <c r="I319" s="165"/>
      <c r="J319" s="165"/>
      <c r="K319" s="166"/>
      <c r="L319" s="45">
        <v>0</v>
      </c>
      <c r="M319" s="45">
        <v>0</v>
      </c>
      <c r="N319" s="45">
        <v>0</v>
      </c>
      <c r="O319" s="45">
        <f t="shared" si="144"/>
        <v>0</v>
      </c>
      <c r="P319" s="45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" hidden="1">
      <c r="A320" s="155"/>
      <c r="B320" s="40"/>
      <c r="C320" s="163"/>
      <c r="D320" s="40"/>
      <c r="E320" s="41" t="s">
        <v>37</v>
      </c>
      <c r="F320" s="40"/>
      <c r="G320" s="156"/>
      <c r="H320" s="164" t="s">
        <v>12</v>
      </c>
      <c r="I320" s="165"/>
      <c r="J320" s="165"/>
      <c r="K320" s="166"/>
      <c r="L320" s="45">
        <f ca="1">IFERROR(__xludf.DUMMYFUNCTION("IMPORTRANGE(""https://docs.google.com/spreadsheets/d/1MeEWN-I1oV_STSDYn1IFDPWt_1FKiwhDph83XaGc0o0/edit?usp=sharing"",""งบพรบ!EC82"")"),0)</f>
        <v>0</v>
      </c>
      <c r="M320" s="45">
        <f ca="1">IFERROR(__xludf.DUMMYFUNCTION("IMPORTRANGE(""https://docs.google.com/spreadsheets/d/1MeEWN-I1oV_STSDYn1IFDPWt_1FKiwhDph83XaGc0o0/edit?usp=sharing"",""งบพรบ!EH82"")"),0)</f>
        <v>0</v>
      </c>
      <c r="N320" s="45">
        <f ca="1">IFERROR(__xludf.DUMMYFUNCTION("IMPORTRANGE(""https://docs.google.com/spreadsheets/d/1MeEWN-I1oV_STSDYn1IFDPWt_1FKiwhDph83XaGc0o0/edit?usp=sharing"",""งบพรบ!EJ82"")"),0)</f>
        <v>0</v>
      </c>
      <c r="O320" s="45">
        <f t="shared" ca="1" si="144"/>
        <v>0</v>
      </c>
      <c r="P320" s="45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9" hidden="1">
      <c r="A321" s="158"/>
      <c r="B321" s="33"/>
      <c r="C321" s="159"/>
      <c r="D321" s="34" t="s">
        <v>21</v>
      </c>
      <c r="E321" s="33"/>
      <c r="F321" s="33"/>
      <c r="G321" s="35"/>
      <c r="H321" s="167" t="s">
        <v>12</v>
      </c>
      <c r="I321" s="161"/>
      <c r="J321" s="161"/>
      <c r="K321" s="162"/>
      <c r="L321" s="38">
        <f t="shared" ref="L321:N321" ca="1" si="148">L322+L323</f>
        <v>0</v>
      </c>
      <c r="M321" s="38">
        <f t="shared" ca="1" si="148"/>
        <v>0</v>
      </c>
      <c r="N321" s="38">
        <f t="shared" ca="1" si="148"/>
        <v>0</v>
      </c>
      <c r="O321" s="38">
        <f t="shared" ca="1" si="144"/>
        <v>0</v>
      </c>
      <c r="P321" s="3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" hidden="1">
      <c r="A322" s="155"/>
      <c r="B322" s="40"/>
      <c r="C322" s="163"/>
      <c r="D322" s="40"/>
      <c r="E322" s="41" t="s">
        <v>18</v>
      </c>
      <c r="F322" s="40"/>
      <c r="G322" s="156"/>
      <c r="H322" s="164" t="s">
        <v>12</v>
      </c>
      <c r="I322" s="165"/>
      <c r="J322" s="165"/>
      <c r="K322" s="166"/>
      <c r="L322" s="45">
        <v>0</v>
      </c>
      <c r="M322" s="45">
        <v>0</v>
      </c>
      <c r="N322" s="45">
        <v>0</v>
      </c>
      <c r="O322" s="45">
        <f t="shared" si="144"/>
        <v>0</v>
      </c>
      <c r="P322" s="45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" hidden="1">
      <c r="A323" s="155"/>
      <c r="B323" s="40"/>
      <c r="C323" s="163"/>
      <c r="D323" s="40"/>
      <c r="E323" s="41" t="s">
        <v>19</v>
      </c>
      <c r="F323" s="40"/>
      <c r="G323" s="156"/>
      <c r="H323" s="168" t="s">
        <v>12</v>
      </c>
      <c r="I323" s="165"/>
      <c r="J323" s="165"/>
      <c r="K323" s="166"/>
      <c r="L323" s="45">
        <f ca="1">IFERROR(__xludf.DUMMYFUNCTION("IMPORTRANGE(""https://docs.google.com/spreadsheets/d/1MeEWN-I1oV_STSDYn1IFDPWt_1FKiwhDph83XaGc0o0/edit?usp=sharing"",""งบพรบ!EF82"")"),0)</f>
        <v>0</v>
      </c>
      <c r="M323" s="45">
        <f ca="1">IFERROR(__xludf.DUMMYFUNCTION("IMPORTRANGE(""https://docs.google.com/spreadsheets/d/1MeEWN-I1oV_STSDYn1IFDPWt_1FKiwhDph83XaGc0o0/edit?usp=sharing"",""งบพรบ!EI82"")"),0)</f>
        <v>0</v>
      </c>
      <c r="N323" s="45">
        <f ca="1">IFERROR(__xludf.DUMMYFUNCTION("IMPORTRANGE(""https://docs.google.com/spreadsheets/d/1MeEWN-I1oV_STSDYn1IFDPWt_1FKiwhDph83XaGc0o0/edit?usp=sharing"",""งบพรบ!EK82"")"),0)</f>
        <v>0</v>
      </c>
      <c r="O323" s="45">
        <f t="shared" ca="1" si="144"/>
        <v>0</v>
      </c>
      <c r="P323" s="45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" hidden="1">
      <c r="A324" s="169"/>
      <c r="B324" s="170"/>
      <c r="C324" s="163" t="s">
        <v>16</v>
      </c>
      <c r="D324" s="796" t="s">
        <v>38</v>
      </c>
      <c r="E324" s="172"/>
      <c r="F324" s="172"/>
      <c r="G324" s="173"/>
      <c r="H324" s="174"/>
      <c r="I324" s="161"/>
      <c r="J324" s="37"/>
      <c r="K324" s="38"/>
      <c r="L324" s="38"/>
      <c r="M324" s="38"/>
      <c r="N324" s="38"/>
      <c r="O324" s="162"/>
      <c r="P324" s="162"/>
    </row>
    <row r="325" spans="1:26" ht="19" hidden="1">
      <c r="A325" s="169"/>
      <c r="B325" s="170"/>
      <c r="C325" s="170"/>
      <c r="D325" s="175" t="s">
        <v>147</v>
      </c>
      <c r="E325" s="177"/>
      <c r="F325" s="176"/>
      <c r="G325" s="178"/>
      <c r="H325" s="36" t="s">
        <v>146</v>
      </c>
      <c r="I325" s="37">
        <f ca="1">IFERROR(__xludf.DUMMYFUNCTION("IMPORTRANGE(""https://docs.google.com/spreadsheets/d/1QqKyyYR6Q21VydFLVH3TRQUabQu_ym0Zz7PgGX0-kHA/edit?usp=sharing"",""แผน!EF82"")"),0)</f>
        <v>0</v>
      </c>
      <c r="J325" s="181">
        <v>0</v>
      </c>
      <c r="K325" s="38">
        <f ca="1">IF(I325&gt;0,J325*100/I325,0)</f>
        <v>0</v>
      </c>
      <c r="L325" s="38"/>
      <c r="M325" s="38"/>
      <c r="N325" s="38"/>
      <c r="O325" s="162"/>
      <c r="P325" s="162"/>
    </row>
    <row r="326" spans="1:26" ht="19">
      <c r="A326" s="409" t="s">
        <v>148</v>
      </c>
      <c r="B326" s="410"/>
      <c r="C326" s="410"/>
      <c r="D326" s="411"/>
      <c r="E326" s="410"/>
      <c r="F326" s="410"/>
      <c r="G326" s="410"/>
      <c r="H326" s="424"/>
      <c r="I326" s="414"/>
      <c r="J326" s="414"/>
      <c r="K326" s="415"/>
      <c r="L326" s="415"/>
      <c r="M326" s="415"/>
      <c r="N326" s="415"/>
      <c r="O326" s="415"/>
      <c r="P326" s="415"/>
    </row>
    <row r="327" spans="1:26" ht="19">
      <c r="A327" s="416"/>
      <c r="B327" s="417" t="s">
        <v>149</v>
      </c>
      <c r="C327" s="427"/>
      <c r="D327" s="418"/>
      <c r="E327" s="418"/>
      <c r="F327" s="418"/>
      <c r="G327" s="419"/>
      <c r="H327" s="420" t="s">
        <v>35</v>
      </c>
      <c r="I327" s="421">
        <f ca="1">IFERROR(__xludf.DUMMYFUNCTION("IMPORTRANGE(""https://docs.google.com/spreadsheets/d/1QqKyyYR6Q21VydFLVH3TRQUabQu_ym0Zz7PgGX0-kHA/edit?usp=sharing"",""แผน!EG82"")"),1200)</f>
        <v>1200</v>
      </c>
      <c r="J327" s="421">
        <f ca="1">J338+J341+J342+J343</f>
        <v>2494</v>
      </c>
      <c r="K327" s="422">
        <f ca="1">IF(I327&gt;0,J327*100/I327,0)</f>
        <v>207.83333333333334</v>
      </c>
      <c r="L327" s="423"/>
      <c r="M327" s="423"/>
      <c r="N327" s="423"/>
      <c r="O327" s="423"/>
      <c r="P327" s="423"/>
    </row>
    <row r="328" spans="1:26" ht="19">
      <c r="A328" s="146"/>
      <c r="B328" s="147"/>
      <c r="C328" s="148" t="s">
        <v>16</v>
      </c>
      <c r="D328" s="795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49">L329+L330</f>
        <v>162000</v>
      </c>
      <c r="M328" s="154">
        <f t="shared" ca="1" si="149"/>
        <v>164500</v>
      </c>
      <c r="N328" s="154">
        <f t="shared" ca="1" si="149"/>
        <v>125669.5</v>
      </c>
      <c r="O328" s="154">
        <f t="shared" ref="O328:O336" ca="1" si="150">IF(L328&gt;0,N328*100/L328,0)</f>
        <v>77.573765432098767</v>
      </c>
      <c r="P328" s="154">
        <f t="shared" ref="P328:P336" ca="1" si="151">IF(M328&gt;0,N328*100/M328,0)</f>
        <v>76.394832826747717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9" hidden="1">
      <c r="A329" s="155"/>
      <c r="B329" s="40"/>
      <c r="C329" s="40"/>
      <c r="D329" s="40"/>
      <c r="E329" s="41" t="s">
        <v>18</v>
      </c>
      <c r="F329" s="40"/>
      <c r="G329" s="156"/>
      <c r="H329" s="157" t="s">
        <v>12</v>
      </c>
      <c r="I329" s="44"/>
      <c r="J329" s="44"/>
      <c r="K329" s="45"/>
      <c r="L329" s="45">
        <f t="shared" ref="L329:N330" si="152">L332+L335</f>
        <v>0</v>
      </c>
      <c r="M329" s="45">
        <f t="shared" si="152"/>
        <v>0</v>
      </c>
      <c r="N329" s="45">
        <f t="shared" si="152"/>
        <v>0</v>
      </c>
      <c r="O329" s="45">
        <f t="shared" si="150"/>
        <v>0</v>
      </c>
      <c r="P329" s="45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9" hidden="1">
      <c r="A330" s="155"/>
      <c r="B330" s="40"/>
      <c r="C330" s="40"/>
      <c r="D330" s="40"/>
      <c r="E330" s="41" t="s">
        <v>19</v>
      </c>
      <c r="F330" s="40"/>
      <c r="G330" s="156"/>
      <c r="H330" s="157" t="s">
        <v>12</v>
      </c>
      <c r="I330" s="44"/>
      <c r="J330" s="44"/>
      <c r="K330" s="45"/>
      <c r="L330" s="45">
        <f t="shared" ca="1" si="152"/>
        <v>162000</v>
      </c>
      <c r="M330" s="45">
        <f t="shared" ca="1" si="152"/>
        <v>164500</v>
      </c>
      <c r="N330" s="45">
        <f t="shared" ca="1" si="152"/>
        <v>125669.5</v>
      </c>
      <c r="O330" s="45">
        <f t="shared" ca="1" si="150"/>
        <v>77.573765432098767</v>
      </c>
      <c r="P330" s="45">
        <f t="shared" ca="1" si="151"/>
        <v>76.394832826747717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9">
      <c r="A331" s="158"/>
      <c r="B331" s="33"/>
      <c r="C331" s="159"/>
      <c r="D331" s="34" t="s">
        <v>20</v>
      </c>
      <c r="E331" s="33"/>
      <c r="F331" s="33"/>
      <c r="G331" s="35"/>
      <c r="H331" s="160" t="s">
        <v>12</v>
      </c>
      <c r="I331" s="161"/>
      <c r="J331" s="161"/>
      <c r="K331" s="162"/>
      <c r="L331" s="38">
        <f t="shared" ref="L331:N331" ca="1" si="153">L332+L333</f>
        <v>162000</v>
      </c>
      <c r="M331" s="38">
        <f t="shared" ca="1" si="153"/>
        <v>164500</v>
      </c>
      <c r="N331" s="38">
        <f t="shared" ca="1" si="153"/>
        <v>125669.5</v>
      </c>
      <c r="O331" s="38">
        <f t="shared" ca="1" si="150"/>
        <v>77.573765432098767</v>
      </c>
      <c r="P331" s="38">
        <f t="shared" ca="1" si="151"/>
        <v>76.394832826747717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" hidden="1">
      <c r="A332" s="155"/>
      <c r="B332" s="40"/>
      <c r="C332" s="163"/>
      <c r="D332" s="40"/>
      <c r="E332" s="41" t="s">
        <v>36</v>
      </c>
      <c r="F332" s="40"/>
      <c r="G332" s="156"/>
      <c r="H332" s="164" t="s">
        <v>12</v>
      </c>
      <c r="I332" s="165"/>
      <c r="J332" s="165"/>
      <c r="K332" s="166"/>
      <c r="L332" s="45">
        <v>0</v>
      </c>
      <c r="M332" s="45">
        <v>0</v>
      </c>
      <c r="N332" s="45">
        <v>0</v>
      </c>
      <c r="O332" s="45">
        <f t="shared" si="150"/>
        <v>0</v>
      </c>
      <c r="P332" s="45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" hidden="1">
      <c r="A333" s="155"/>
      <c r="B333" s="40"/>
      <c r="C333" s="163"/>
      <c r="D333" s="40"/>
      <c r="E333" s="41" t="s">
        <v>37</v>
      </c>
      <c r="F333" s="40"/>
      <c r="G333" s="156"/>
      <c r="H333" s="164" t="s">
        <v>12</v>
      </c>
      <c r="I333" s="165"/>
      <c r="J333" s="165"/>
      <c r="K333" s="166"/>
      <c r="L333" s="45">
        <f ca="1">IFERROR(__xludf.DUMMYFUNCTION("IMPORTRANGE(""https://docs.google.com/spreadsheets/d/1MeEWN-I1oV_STSDYn1IFDPWt_1FKiwhDph83XaGc0o0/edit?usp=sharing"",""งบพรบ!EM82"")"),162000)</f>
        <v>162000</v>
      </c>
      <c r="M333" s="45">
        <f ca="1">IFERROR(__xludf.DUMMYFUNCTION("IMPORTRANGE(""https://docs.google.com/spreadsheets/d/1MeEWN-I1oV_STSDYn1IFDPWt_1FKiwhDph83XaGc0o0/edit?usp=sharing"",""งบพรบ!ER82"")"),164500)</f>
        <v>164500</v>
      </c>
      <c r="N333" s="45">
        <f ca="1">IFERROR(__xludf.DUMMYFUNCTION("IMPORTRANGE(""https://docs.google.com/spreadsheets/d/1MeEWN-I1oV_STSDYn1IFDPWt_1FKiwhDph83XaGc0o0/edit?usp=sharing"",""งบพรบ!ET82"")"),125669.5)</f>
        <v>125669.5</v>
      </c>
      <c r="O333" s="45">
        <f t="shared" ca="1" si="150"/>
        <v>77.573765432098767</v>
      </c>
      <c r="P333" s="45">
        <f t="shared" ca="1" si="151"/>
        <v>76.394832826747717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9">
      <c r="A334" s="158"/>
      <c r="B334" s="33"/>
      <c r="C334" s="159"/>
      <c r="D334" s="34" t="s">
        <v>21</v>
      </c>
      <c r="E334" s="33"/>
      <c r="F334" s="33"/>
      <c r="G334" s="35"/>
      <c r="H334" s="167" t="s">
        <v>12</v>
      </c>
      <c r="I334" s="161"/>
      <c r="J334" s="161"/>
      <c r="K334" s="162"/>
      <c r="L334" s="38">
        <f t="shared" ref="L334:N334" ca="1" si="154">L335+L336</f>
        <v>0</v>
      </c>
      <c r="M334" s="38">
        <f t="shared" ca="1" si="154"/>
        <v>0</v>
      </c>
      <c r="N334" s="38">
        <f t="shared" ca="1" si="154"/>
        <v>0</v>
      </c>
      <c r="O334" s="38">
        <f t="shared" ca="1" si="150"/>
        <v>0</v>
      </c>
      <c r="P334" s="3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" hidden="1">
      <c r="A335" s="155"/>
      <c r="B335" s="40"/>
      <c r="C335" s="163"/>
      <c r="D335" s="40"/>
      <c r="E335" s="41" t="s">
        <v>18</v>
      </c>
      <c r="F335" s="40"/>
      <c r="G335" s="156"/>
      <c r="H335" s="164" t="s">
        <v>12</v>
      </c>
      <c r="I335" s="165"/>
      <c r="J335" s="165"/>
      <c r="K335" s="166"/>
      <c r="L335" s="45">
        <v>0</v>
      </c>
      <c r="M335" s="45">
        <v>0</v>
      </c>
      <c r="N335" s="45">
        <v>0</v>
      </c>
      <c r="O335" s="45">
        <f t="shared" si="150"/>
        <v>0</v>
      </c>
      <c r="P335" s="45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" hidden="1">
      <c r="A336" s="155"/>
      <c r="B336" s="40"/>
      <c r="C336" s="163"/>
      <c r="D336" s="40"/>
      <c r="E336" s="41" t="s">
        <v>19</v>
      </c>
      <c r="F336" s="40"/>
      <c r="G336" s="156"/>
      <c r="H336" s="168" t="s">
        <v>12</v>
      </c>
      <c r="I336" s="165"/>
      <c r="J336" s="165"/>
      <c r="K336" s="166"/>
      <c r="L336" s="45">
        <f ca="1">IFERROR(__xludf.DUMMYFUNCTION("IMPORTRANGE(""https://docs.google.com/spreadsheets/d/1MeEWN-I1oV_STSDYn1IFDPWt_1FKiwhDph83XaGc0o0/edit?usp=sharing"",""งบพรบ!EP82"")"),0)</f>
        <v>0</v>
      </c>
      <c r="M336" s="45">
        <f ca="1">IFERROR(__xludf.DUMMYFUNCTION("IMPORTRANGE(""https://docs.google.com/spreadsheets/d/1MeEWN-I1oV_STSDYn1IFDPWt_1FKiwhDph83XaGc0o0/edit?usp=sharing"",""งบพรบ!ES82"")"),0)</f>
        <v>0</v>
      </c>
      <c r="N336" s="45">
        <f ca="1">IFERROR(__xludf.DUMMYFUNCTION("IMPORTRANGE(""https://docs.google.com/spreadsheets/d/1MeEWN-I1oV_STSDYn1IFDPWt_1FKiwhDph83XaGc0o0/edit?usp=sharing"",""งบพรบ!EU82"")"),0)</f>
        <v>0</v>
      </c>
      <c r="O336" s="45">
        <f t="shared" ca="1" si="150"/>
        <v>0</v>
      </c>
      <c r="P336" s="45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">
      <c r="A337" s="169"/>
      <c r="B337" s="170"/>
      <c r="C337" s="163" t="s">
        <v>16</v>
      </c>
      <c r="D337" s="796" t="s">
        <v>38</v>
      </c>
      <c r="E337" s="172"/>
      <c r="F337" s="172"/>
      <c r="G337" s="173"/>
      <c r="H337" s="174"/>
      <c r="I337" s="161"/>
      <c r="J337" s="37"/>
      <c r="K337" s="38"/>
      <c r="L337" s="38"/>
      <c r="M337" s="38"/>
      <c r="N337" s="38"/>
      <c r="O337" s="162"/>
      <c r="P337" s="162"/>
    </row>
    <row r="338" spans="1:26" ht="19">
      <c r="A338" s="271"/>
      <c r="B338" s="33"/>
      <c r="C338" s="269"/>
      <c r="D338" s="176" t="s">
        <v>150</v>
      </c>
      <c r="E338" s="170"/>
      <c r="F338" s="33"/>
      <c r="G338" s="35"/>
      <c r="H338" s="265" t="s">
        <v>35</v>
      </c>
      <c r="I338" s="37">
        <f ca="1">IFERROR(__xludf.DUMMYFUNCTION("IMPORTRANGE(""https://docs.google.com/spreadsheets/d/1QqKyyYR6Q21VydFLVH3TRQUabQu_ym0Zz7PgGX0-kHA/edit?usp=sharing"",""แผน!EG82"")"),1200)</f>
        <v>1200</v>
      </c>
      <c r="J338" s="37">
        <f ca="1">IFERROR(__xludf.DUMMYFUNCTION("IMPORTRANGE(""https://docs.google.com/spreadsheets/d/1kVcqe37tkHyjCSG3S0O1AXqVkqjo8mSIZil3BcpIysc/edit?usp=sharing"",""ศูนย์!D82"")"),2386)</f>
        <v>2386</v>
      </c>
      <c r="K338" s="38">
        <f ca="1">IF(I338&gt;0,J338*100/I338,0)</f>
        <v>198.83333333333334</v>
      </c>
      <c r="L338" s="38"/>
      <c r="M338" s="38"/>
      <c r="N338" s="38"/>
      <c r="O338" s="38"/>
      <c r="P338" s="38"/>
    </row>
    <row r="339" spans="1:26" ht="19">
      <c r="A339" s="271"/>
      <c r="B339" s="33"/>
      <c r="C339" s="269"/>
      <c r="D339" s="176" t="s">
        <v>151</v>
      </c>
      <c r="E339" s="170"/>
      <c r="F339" s="33"/>
      <c r="G339" s="35"/>
      <c r="H339" s="265"/>
      <c r="I339" s="37"/>
      <c r="J339" s="37"/>
      <c r="K339" s="38"/>
      <c r="L339" s="38"/>
      <c r="M339" s="38"/>
      <c r="N339" s="38"/>
      <c r="O339" s="38"/>
      <c r="P339" s="38"/>
    </row>
    <row r="340" spans="1:26" ht="19">
      <c r="A340" s="271"/>
      <c r="B340" s="33"/>
      <c r="C340" s="269"/>
      <c r="D340" s="177"/>
      <c r="E340" s="176" t="s">
        <v>152</v>
      </c>
      <c r="F340" s="33"/>
      <c r="G340" s="35"/>
      <c r="H340" s="265" t="s">
        <v>153</v>
      </c>
      <c r="I340" s="37">
        <f ca="1">IFERROR(__xludf.DUMMYFUNCTION("IMPORTRANGE(""https://docs.google.com/spreadsheets/d/1QqKyyYR6Q21VydFLVH3TRQUabQu_ym0Zz7PgGX0-kHA/edit?usp=sharing"",""แผน!EH82"")"),2)</f>
        <v>2</v>
      </c>
      <c r="J340" s="37">
        <f ca="1">IFERROR(__xludf.DUMMYFUNCTION("IMPORTRANGE(""https://docs.google.com/spreadsheets/d/1kVcqe37tkHyjCSG3S0O1AXqVkqjo8mSIZil3BcpIysc/edit?usp=sharing"",""ศูนย์!E82"")"),2)</f>
        <v>2</v>
      </c>
      <c r="K340" s="38">
        <f ca="1">IF(I340&gt;0,J340*100/I340,0)</f>
        <v>100</v>
      </c>
      <c r="L340" s="38"/>
      <c r="M340" s="38"/>
      <c r="N340" s="38"/>
      <c r="O340" s="38"/>
      <c r="P340" s="38"/>
    </row>
    <row r="341" spans="1:26" ht="19">
      <c r="A341" s="271"/>
      <c r="B341" s="33"/>
      <c r="C341" s="269"/>
      <c r="D341" s="177"/>
      <c r="E341" s="176" t="s">
        <v>154</v>
      </c>
      <c r="F341" s="33"/>
      <c r="G341" s="35"/>
      <c r="H341" s="265" t="s">
        <v>35</v>
      </c>
      <c r="I341" s="37"/>
      <c r="J341" s="37">
        <f ca="1">IFERROR(__xludf.DUMMYFUNCTION("IMPORTRANGE(""https://docs.google.com/spreadsheets/d/1kVcqe37tkHyjCSG3S0O1AXqVkqjo8mSIZil3BcpIysc/edit?usp=sharing"",""ศูนย์!F82"")"),108)</f>
        <v>108</v>
      </c>
      <c r="K341" s="38"/>
      <c r="L341" s="38"/>
      <c r="M341" s="38"/>
      <c r="N341" s="38"/>
      <c r="O341" s="38"/>
      <c r="P341" s="38"/>
    </row>
    <row r="342" spans="1:26" ht="19">
      <c r="A342" s="271"/>
      <c r="B342" s="33"/>
      <c r="C342" s="269"/>
      <c r="D342" s="176" t="s">
        <v>155</v>
      </c>
      <c r="E342" s="177"/>
      <c r="F342" s="177"/>
      <c r="G342" s="35"/>
      <c r="H342" s="265" t="s">
        <v>35</v>
      </c>
      <c r="I342" s="37"/>
      <c r="J342" s="37">
        <f ca="1">IFERROR(__xludf.DUMMYFUNCTION("IMPORTRANGE(""https://docs.google.com/spreadsheets/d/1kVcqe37tkHyjCSG3S0O1AXqVkqjo8mSIZil3BcpIysc/edit?usp=sharing"",""ศูนย์!G82"")"),0)</f>
        <v>0</v>
      </c>
      <c r="K342" s="38"/>
      <c r="L342" s="38"/>
      <c r="M342" s="38"/>
      <c r="N342" s="38"/>
      <c r="O342" s="38"/>
      <c r="P342" s="38"/>
    </row>
    <row r="343" spans="1:26" ht="19">
      <c r="A343" s="271"/>
      <c r="B343" s="33"/>
      <c r="C343" s="269"/>
      <c r="D343" s="176" t="s">
        <v>156</v>
      </c>
      <c r="E343" s="177"/>
      <c r="F343" s="177"/>
      <c r="G343" s="35"/>
      <c r="H343" s="265" t="s">
        <v>35</v>
      </c>
      <c r="I343" s="37"/>
      <c r="J343" s="37">
        <f ca="1">IFERROR(__xludf.DUMMYFUNCTION("IMPORTRANGE(""https://docs.google.com/spreadsheets/d/1kVcqe37tkHyjCSG3S0O1AXqVkqjo8mSIZil3BcpIysc/edit?usp=sharing"",""ศูนย์!H82"")"),0)</f>
        <v>0</v>
      </c>
      <c r="K343" s="38"/>
      <c r="L343" s="38"/>
      <c r="M343" s="38"/>
      <c r="N343" s="38"/>
      <c r="O343" s="38"/>
      <c r="P343" s="38"/>
    </row>
    <row r="344" spans="1:26" ht="19">
      <c r="A344" s="416"/>
      <c r="B344" s="417" t="s">
        <v>157</v>
      </c>
      <c r="C344" s="427"/>
      <c r="D344" s="418"/>
      <c r="E344" s="418"/>
      <c r="F344" s="418"/>
      <c r="G344" s="419"/>
      <c r="H344" s="420"/>
      <c r="I344" s="428"/>
      <c r="J344" s="428"/>
      <c r="K344" s="423"/>
      <c r="L344" s="423"/>
      <c r="M344" s="423"/>
      <c r="N344" s="423"/>
      <c r="O344" s="423"/>
      <c r="P344" s="423"/>
    </row>
    <row r="345" spans="1:26" ht="19">
      <c r="A345" s="146"/>
      <c r="B345" s="147"/>
      <c r="C345" s="148" t="s">
        <v>16</v>
      </c>
      <c r="D345" s="795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55">L346+L347</f>
        <v>444870</v>
      </c>
      <c r="M345" s="154">
        <f t="shared" ca="1" si="155"/>
        <v>499870</v>
      </c>
      <c r="N345" s="154">
        <f t="shared" ca="1" si="155"/>
        <v>297744.09999999998</v>
      </c>
      <c r="O345" s="154">
        <f t="shared" ref="O345:O353" ca="1" si="156">IF(L345&gt;0,N345*100/L345,0)</f>
        <v>66.928338615775388</v>
      </c>
      <c r="P345" s="154">
        <f t="shared" ref="P345:P353" ca="1" si="157">IF(M345&gt;0,N345*100/M345,0)</f>
        <v>59.56430671974713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9" hidden="1">
      <c r="A346" s="155"/>
      <c r="B346" s="40"/>
      <c r="C346" s="40"/>
      <c r="D346" s="40"/>
      <c r="E346" s="41" t="s">
        <v>18</v>
      </c>
      <c r="F346" s="40"/>
      <c r="G346" s="156"/>
      <c r="H346" s="157" t="s">
        <v>12</v>
      </c>
      <c r="I346" s="44"/>
      <c r="J346" s="44"/>
      <c r="K346" s="45"/>
      <c r="L346" s="45">
        <f t="shared" ref="L346:N347" si="158">L349+L352</f>
        <v>0</v>
      </c>
      <c r="M346" s="45">
        <f t="shared" si="158"/>
        <v>0</v>
      </c>
      <c r="N346" s="45">
        <f t="shared" si="158"/>
        <v>0</v>
      </c>
      <c r="O346" s="45">
        <f t="shared" si="156"/>
        <v>0</v>
      </c>
      <c r="P346" s="45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9" hidden="1">
      <c r="A347" s="155"/>
      <c r="B347" s="40"/>
      <c r="C347" s="40"/>
      <c r="D347" s="40"/>
      <c r="E347" s="41" t="s">
        <v>19</v>
      </c>
      <c r="F347" s="40"/>
      <c r="G347" s="156"/>
      <c r="H347" s="157" t="s">
        <v>12</v>
      </c>
      <c r="I347" s="44"/>
      <c r="J347" s="44"/>
      <c r="K347" s="45"/>
      <c r="L347" s="45">
        <f t="shared" ca="1" si="158"/>
        <v>444870</v>
      </c>
      <c r="M347" s="45">
        <f t="shared" ca="1" si="158"/>
        <v>499870</v>
      </c>
      <c r="N347" s="45">
        <f t="shared" ca="1" si="158"/>
        <v>297744.09999999998</v>
      </c>
      <c r="O347" s="45">
        <f t="shared" ca="1" si="156"/>
        <v>66.928338615775388</v>
      </c>
      <c r="P347" s="45">
        <f t="shared" ca="1" si="157"/>
        <v>59.56430671974713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9">
      <c r="A348" s="158"/>
      <c r="B348" s="33"/>
      <c r="C348" s="159"/>
      <c r="D348" s="34" t="s">
        <v>20</v>
      </c>
      <c r="E348" s="33"/>
      <c r="F348" s="33"/>
      <c r="G348" s="35"/>
      <c r="H348" s="160" t="s">
        <v>12</v>
      </c>
      <c r="I348" s="161"/>
      <c r="J348" s="161"/>
      <c r="K348" s="162"/>
      <c r="L348" s="38">
        <f t="shared" ref="L348:N348" ca="1" si="159">L349+L350</f>
        <v>399870</v>
      </c>
      <c r="M348" s="38">
        <f t="shared" ca="1" si="159"/>
        <v>454870</v>
      </c>
      <c r="N348" s="38">
        <f t="shared" ca="1" si="159"/>
        <v>252744.1</v>
      </c>
      <c r="O348" s="38">
        <f t="shared" ca="1" si="156"/>
        <v>63.206567134318654</v>
      </c>
      <c r="P348" s="38">
        <f t="shared" ca="1" si="157"/>
        <v>55.56402928309187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" hidden="1">
      <c r="A349" s="155"/>
      <c r="B349" s="40"/>
      <c r="C349" s="163"/>
      <c r="D349" s="40"/>
      <c r="E349" s="41" t="s">
        <v>36</v>
      </c>
      <c r="F349" s="40"/>
      <c r="G349" s="156"/>
      <c r="H349" s="164" t="s">
        <v>12</v>
      </c>
      <c r="I349" s="165"/>
      <c r="J349" s="165"/>
      <c r="K349" s="166"/>
      <c r="L349" s="45">
        <v>0</v>
      </c>
      <c r="M349" s="45">
        <v>0</v>
      </c>
      <c r="N349" s="45">
        <v>0</v>
      </c>
      <c r="O349" s="45">
        <f t="shared" si="156"/>
        <v>0</v>
      </c>
      <c r="P349" s="45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" hidden="1">
      <c r="A350" s="155"/>
      <c r="B350" s="40"/>
      <c r="C350" s="163"/>
      <c r="D350" s="40"/>
      <c r="E350" s="41" t="s">
        <v>37</v>
      </c>
      <c r="F350" s="40"/>
      <c r="G350" s="156"/>
      <c r="H350" s="164" t="s">
        <v>12</v>
      </c>
      <c r="I350" s="165"/>
      <c r="J350" s="165"/>
      <c r="K350" s="166"/>
      <c r="L350" s="45">
        <f ca="1">IFERROR(__xludf.DUMMYFUNCTION("IMPORTRANGE(""https://docs.google.com/spreadsheets/d/1MeEWN-I1oV_STSDYn1IFDPWt_1FKiwhDph83XaGc0o0/edit?usp=sharing"",""งบพรบ!EW82"")"),399870)</f>
        <v>399870</v>
      </c>
      <c r="M350" s="45">
        <f ca="1">IFERROR(__xludf.DUMMYFUNCTION("IMPORTRANGE(""https://docs.google.com/spreadsheets/d/1MeEWN-I1oV_STSDYn1IFDPWt_1FKiwhDph83XaGc0o0/edit?usp=sharing"",""งบพรบ!FB82"")"),454870)</f>
        <v>454870</v>
      </c>
      <c r="N350" s="45">
        <f ca="1">IFERROR(__xludf.DUMMYFUNCTION("IMPORTRANGE(""https://docs.google.com/spreadsheets/d/1MeEWN-I1oV_STSDYn1IFDPWt_1FKiwhDph83XaGc0o0/edit?usp=sharing"",""งบพรบ!FD82"")"),252744.1)</f>
        <v>252744.1</v>
      </c>
      <c r="O350" s="45">
        <f t="shared" ca="1" si="156"/>
        <v>63.206567134318654</v>
      </c>
      <c r="P350" s="45">
        <f t="shared" ca="1" si="157"/>
        <v>55.56402928309187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9">
      <c r="A351" s="158"/>
      <c r="B351" s="33"/>
      <c r="C351" s="159"/>
      <c r="D351" s="34" t="s">
        <v>21</v>
      </c>
      <c r="E351" s="33"/>
      <c r="F351" s="33"/>
      <c r="G351" s="35"/>
      <c r="H351" s="167" t="s">
        <v>12</v>
      </c>
      <c r="I351" s="161"/>
      <c r="J351" s="161"/>
      <c r="K351" s="162"/>
      <c r="L351" s="38">
        <f t="shared" ref="L351:N351" ca="1" si="160">L352+L353</f>
        <v>45000</v>
      </c>
      <c r="M351" s="38">
        <f t="shared" ca="1" si="160"/>
        <v>45000</v>
      </c>
      <c r="N351" s="38">
        <f t="shared" ca="1" si="160"/>
        <v>45000</v>
      </c>
      <c r="O351" s="38">
        <f t="shared" ca="1" si="156"/>
        <v>100</v>
      </c>
      <c r="P351" s="3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" hidden="1">
      <c r="A352" s="155"/>
      <c r="B352" s="40"/>
      <c r="C352" s="163"/>
      <c r="D352" s="40"/>
      <c r="E352" s="41" t="s">
        <v>18</v>
      </c>
      <c r="F352" s="40"/>
      <c r="G352" s="156"/>
      <c r="H352" s="164" t="s">
        <v>12</v>
      </c>
      <c r="I352" s="165"/>
      <c r="J352" s="165"/>
      <c r="K352" s="166"/>
      <c r="L352" s="45">
        <v>0</v>
      </c>
      <c r="M352" s="45">
        <v>0</v>
      </c>
      <c r="N352" s="45">
        <v>0</v>
      </c>
      <c r="O352" s="45">
        <f t="shared" si="156"/>
        <v>0</v>
      </c>
      <c r="P352" s="45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" hidden="1">
      <c r="A353" s="155"/>
      <c r="B353" s="40"/>
      <c r="C353" s="163"/>
      <c r="D353" s="40"/>
      <c r="E353" s="41" t="s">
        <v>19</v>
      </c>
      <c r="F353" s="40"/>
      <c r="G353" s="156"/>
      <c r="H353" s="168" t="s">
        <v>12</v>
      </c>
      <c r="I353" s="165"/>
      <c r="J353" s="165"/>
      <c r="K353" s="166"/>
      <c r="L353" s="45">
        <f ca="1">IFERROR(__xludf.DUMMYFUNCTION("IMPORTRANGE(""https://docs.google.com/spreadsheets/d/1MeEWN-I1oV_STSDYn1IFDPWt_1FKiwhDph83XaGc0o0/edit?usp=sharing"",""งบพรบ!EZ82"")"),45000)</f>
        <v>45000</v>
      </c>
      <c r="M353" s="45">
        <f ca="1">IFERROR(__xludf.DUMMYFUNCTION("IMPORTRANGE(""https://docs.google.com/spreadsheets/d/1MeEWN-I1oV_STSDYn1IFDPWt_1FKiwhDph83XaGc0o0/edit?usp=sharing"",""งบพรบ!FC82"")"),45000)</f>
        <v>45000</v>
      </c>
      <c r="N353" s="45">
        <f ca="1">IFERROR(__xludf.DUMMYFUNCTION("IMPORTRANGE(""https://docs.google.com/spreadsheets/d/1MeEWN-I1oV_STSDYn1IFDPWt_1FKiwhDph83XaGc0o0/edit?usp=sharing"",""งบพรบ!FE82"")"),45000)</f>
        <v>45000</v>
      </c>
      <c r="O353" s="45">
        <f t="shared" ca="1" si="156"/>
        <v>100</v>
      </c>
      <c r="P353" s="45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">
      <c r="A354" s="245"/>
      <c r="B354" s="253"/>
      <c r="C354" s="246"/>
      <c r="D354" s="805" t="s">
        <v>158</v>
      </c>
      <c r="E354" s="246"/>
      <c r="F354" s="246"/>
      <c r="G354" s="248"/>
      <c r="H354" s="430"/>
      <c r="I354" s="250"/>
      <c r="J354" s="250"/>
      <c r="K354" s="251"/>
      <c r="L354" s="251"/>
      <c r="M354" s="251"/>
      <c r="N354" s="251"/>
      <c r="O354" s="251"/>
      <c r="P354" s="251"/>
    </row>
    <row r="355" spans="1:26" ht="19">
      <c r="A355" s="431"/>
      <c r="B355" s="432"/>
      <c r="C355" s="433"/>
      <c r="D355" s="806" t="s">
        <v>159</v>
      </c>
      <c r="E355" s="435"/>
      <c r="F355" s="435"/>
      <c r="G355" s="436"/>
      <c r="H355" s="437" t="s">
        <v>35</v>
      </c>
      <c r="I355" s="438">
        <f ca="1">IFERROR(__xludf.DUMMYFUNCTION("IMPORTRANGE(""https://docs.google.com/spreadsheets/d/1QqKyyYR6Q21VydFLVH3TRQUabQu_ym0Zz7PgGX0-kHA/edit?usp=sharing"",""แผน!EP82"")"),127)</f>
        <v>127</v>
      </c>
      <c r="J355" s="438">
        <f ca="1">J362</f>
        <v>36</v>
      </c>
      <c r="K355" s="439">
        <f ca="1">IF(I355&gt;0,J355*100/I355,0)</f>
        <v>28.346456692913385</v>
      </c>
      <c r="L355" s="440"/>
      <c r="M355" s="440"/>
      <c r="N355" s="440"/>
      <c r="O355" s="440"/>
      <c r="P355" s="440"/>
    </row>
    <row r="356" spans="1:26" ht="19">
      <c r="A356" s="431"/>
      <c r="B356" s="432"/>
      <c r="C356" s="433"/>
      <c r="D356" s="441" t="s">
        <v>160</v>
      </c>
      <c r="E356" s="435"/>
      <c r="F356" s="435"/>
      <c r="G356" s="436"/>
      <c r="H356" s="442"/>
      <c r="I356" s="443"/>
      <c r="J356" s="443"/>
      <c r="K356" s="440"/>
      <c r="L356" s="440"/>
      <c r="M356" s="440"/>
      <c r="N356" s="440"/>
      <c r="O356" s="440"/>
      <c r="P356" s="440"/>
    </row>
    <row r="357" spans="1:26" ht="19">
      <c r="A357" s="169"/>
      <c r="B357" s="170"/>
      <c r="C357" s="163" t="s">
        <v>16</v>
      </c>
      <c r="D357" s="796" t="s">
        <v>38</v>
      </c>
      <c r="E357" s="172"/>
      <c r="F357" s="172"/>
      <c r="G357" s="173"/>
      <c r="H357" s="174"/>
      <c r="I357" s="37"/>
      <c r="J357" s="37"/>
      <c r="K357" s="38"/>
      <c r="L357" s="162"/>
      <c r="M357" s="162"/>
      <c r="N357" s="162"/>
      <c r="O357" s="162"/>
      <c r="P357" s="162"/>
    </row>
    <row r="358" spans="1:26" ht="19">
      <c r="A358" s="169"/>
      <c r="B358" s="177"/>
      <c r="C358" s="170"/>
      <c r="D358" s="177"/>
      <c r="E358" s="175" t="s">
        <v>161</v>
      </c>
      <c r="F358" s="177"/>
      <c r="G358" s="178"/>
      <c r="H358" s="182" t="s">
        <v>35</v>
      </c>
      <c r="I358" s="37">
        <v>0</v>
      </c>
      <c r="J358" s="37">
        <f ca="1">IFERROR(__xludf.DUMMYFUNCTION("IMPORTRANGE(""https://docs.google.com/spreadsheets/d/1XWAQStnk-4SwqDmLtmXYiTMKHgktTP8We1SCoS47DrQ/edit?usp=sharing"",""จัดที่ดิน!W82"")"),15)</f>
        <v>15</v>
      </c>
      <c r="K358" s="38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9">
      <c r="A359" s="169"/>
      <c r="B359" s="177"/>
      <c r="C359" s="170"/>
      <c r="D359" s="177"/>
      <c r="E359" s="177"/>
      <c r="F359" s="177"/>
      <c r="G359" s="178"/>
      <c r="H359" s="182" t="s">
        <v>46</v>
      </c>
      <c r="I359" s="37">
        <f ca="1">IFERROR(__xludf.DUMMYFUNCTION("IMPORTRANGE(""https://docs.google.com/spreadsheets/d/1QqKyyYR6Q21VydFLVH3TRQUabQu_ym0Zz7PgGX0-kHA/edit?usp=sharing"",""แผน!EO82"")"),970)</f>
        <v>970</v>
      </c>
      <c r="J359" s="37">
        <f ca="1">IFERROR(__xludf.DUMMYFUNCTION("IMPORTRANGE(""https://docs.google.com/spreadsheets/d/1XWAQStnk-4SwqDmLtmXYiTMKHgktTP8We1SCoS47DrQ/edit?usp=sharing"",""จัดที่ดิน!X82"")"),56.68)</f>
        <v>56.68</v>
      </c>
      <c r="K359" s="38">
        <f t="shared" ca="1" si="161"/>
        <v>5.8432989690721646</v>
      </c>
      <c r="L359" s="162"/>
      <c r="M359" s="162"/>
      <c r="N359" s="162"/>
      <c r="O359" s="162"/>
      <c r="P359" s="162"/>
    </row>
    <row r="360" spans="1:26" ht="19">
      <c r="A360" s="169"/>
      <c r="B360" s="177"/>
      <c r="C360" s="170"/>
      <c r="D360" s="177"/>
      <c r="E360" s="175" t="s">
        <v>162</v>
      </c>
      <c r="F360" s="177"/>
      <c r="G360" s="178"/>
      <c r="H360" s="180" t="s">
        <v>35</v>
      </c>
      <c r="I360" s="37">
        <f ca="1">IFERROR(__xludf.DUMMYFUNCTION("IMPORTRANGE(""https://docs.google.com/spreadsheets/d/1QqKyyYR6Q21VydFLVH3TRQUabQu_ym0Zz7PgGX0-kHA/edit?usp=sharing"",""แผน!EP82"")"),127)</f>
        <v>127</v>
      </c>
      <c r="J360" s="37">
        <f ca="1">IFERROR(__xludf.DUMMYFUNCTION("IMPORTRANGE(""https://docs.google.com/spreadsheets/d/1XWAQStnk-4SwqDmLtmXYiTMKHgktTP8We1SCoS47DrQ/edit?usp=sharing"",""จัดที่ดิน!Y82"")"),35)</f>
        <v>35</v>
      </c>
      <c r="K360" s="38">
        <f t="shared" ca="1" si="161"/>
        <v>27.559055118110237</v>
      </c>
      <c r="L360" s="162"/>
      <c r="M360" s="162"/>
      <c r="N360" s="162"/>
      <c r="O360" s="162"/>
      <c r="P360" s="162"/>
    </row>
    <row r="361" spans="1:26" ht="19">
      <c r="A361" s="169"/>
      <c r="B361" s="177"/>
      <c r="C361" s="170"/>
      <c r="D361" s="177"/>
      <c r="E361" s="177"/>
      <c r="F361" s="177"/>
      <c r="G361" s="178"/>
      <c r="H361" s="180" t="s">
        <v>46</v>
      </c>
      <c r="I361" s="37">
        <v>0</v>
      </c>
      <c r="J361" s="37">
        <f ca="1">IFERROR(__xludf.DUMMYFUNCTION("IMPORTRANGE(""https://docs.google.com/spreadsheets/d/1XWAQStnk-4SwqDmLtmXYiTMKHgktTP8We1SCoS47DrQ/edit?usp=sharing"",""จัดที่ดิน!Z82"")"),96.31)</f>
        <v>96.31</v>
      </c>
      <c r="K361" s="38">
        <f t="shared" si="161"/>
        <v>0</v>
      </c>
      <c r="L361" s="162"/>
      <c r="M361" s="162"/>
      <c r="N361" s="162"/>
      <c r="O361" s="162"/>
      <c r="P361" s="162"/>
    </row>
    <row r="362" spans="1:26" ht="19">
      <c r="A362" s="169"/>
      <c r="B362" s="177"/>
      <c r="C362" s="170"/>
      <c r="D362" s="177"/>
      <c r="E362" s="175" t="s">
        <v>163</v>
      </c>
      <c r="F362" s="177"/>
      <c r="G362" s="178"/>
      <c r="H362" s="180" t="s">
        <v>35</v>
      </c>
      <c r="I362" s="37">
        <f ca="1">IFERROR(__xludf.DUMMYFUNCTION("IMPORTRANGE(""https://docs.google.com/spreadsheets/d/1QqKyyYR6Q21VydFLVH3TRQUabQu_ym0Zz7PgGX0-kHA/edit?usp=sharing"",""แผน!EP82"")"),127)</f>
        <v>127</v>
      </c>
      <c r="J362" s="37">
        <f ca="1">IFERROR(__xludf.DUMMYFUNCTION("IMPORTRANGE(""https://docs.google.com/spreadsheets/d/1XWAQStnk-4SwqDmLtmXYiTMKHgktTP8We1SCoS47DrQ/edit?usp=sharing"",""จัดที่ดิน!AA82"")"),36)</f>
        <v>36</v>
      </c>
      <c r="K362" s="38">
        <f t="shared" ca="1" si="161"/>
        <v>28.346456692913385</v>
      </c>
      <c r="L362" s="162"/>
      <c r="M362" s="162"/>
      <c r="N362" s="162"/>
      <c r="O362" s="162"/>
      <c r="P362" s="162"/>
    </row>
    <row r="363" spans="1:26" ht="19">
      <c r="A363" s="444" t="s">
        <v>164</v>
      </c>
      <c r="B363" s="177"/>
      <c r="C363" s="170"/>
      <c r="D363" s="177"/>
      <c r="E363" s="176"/>
      <c r="F363" s="177"/>
      <c r="G363" s="178"/>
      <c r="H363" s="180" t="s">
        <v>46</v>
      </c>
      <c r="I363" s="37">
        <v>0</v>
      </c>
      <c r="J363" s="37">
        <f ca="1">IFERROR(__xludf.DUMMYFUNCTION("IMPORTRANGE(""https://docs.google.com/spreadsheets/d/1XWAQStnk-4SwqDmLtmXYiTMKHgktTP8We1SCoS47DrQ/edit?usp=sharing"",""จัดที่ดิน!AB82"")"),96.96)</f>
        <v>96.96</v>
      </c>
      <c r="K363" s="38">
        <f t="shared" si="161"/>
        <v>0</v>
      </c>
      <c r="L363" s="162"/>
      <c r="M363" s="162"/>
      <c r="N363" s="162"/>
      <c r="O363" s="162"/>
      <c r="P363" s="162"/>
    </row>
    <row r="364" spans="1:26" ht="19">
      <c r="A364" s="445"/>
      <c r="B364" s="446"/>
      <c r="C364" s="447"/>
      <c r="D364" s="448" t="s">
        <v>165</v>
      </c>
      <c r="E364" s="449"/>
      <c r="F364" s="449"/>
      <c r="G364" s="450"/>
      <c r="H364" s="451" t="s">
        <v>35</v>
      </c>
      <c r="I364" s="452">
        <f t="shared" ref="I364:J364" ca="1" si="162">I365+I374</f>
        <v>267</v>
      </c>
      <c r="J364" s="452">
        <f t="shared" ca="1" si="162"/>
        <v>168</v>
      </c>
      <c r="K364" s="453">
        <f t="shared" ca="1" si="161"/>
        <v>62.921348314606739</v>
      </c>
      <c r="L364" s="454"/>
      <c r="M364" s="454"/>
      <c r="N364" s="454"/>
      <c r="O364" s="454"/>
      <c r="P364" s="454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</row>
    <row r="365" spans="1:26" ht="19">
      <c r="A365" s="456"/>
      <c r="B365" s="457"/>
      <c r="C365" s="458"/>
      <c r="D365" s="458" t="s">
        <v>166</v>
      </c>
      <c r="E365" s="459"/>
      <c r="F365" s="459"/>
      <c r="G365" s="460"/>
      <c r="H365" s="461" t="s">
        <v>35</v>
      </c>
      <c r="I365" s="462">
        <f ca="1">IFERROR(__xludf.DUMMYFUNCTION("IMPORTRANGE(""https://docs.google.com/spreadsheets/d/1QqKyyYR6Q21VydFLVH3TRQUabQu_ym0Zz7PgGX0-kHA/edit?usp=sharing"",""แผน!EJ82"")"),67)</f>
        <v>67</v>
      </c>
      <c r="J365" s="462">
        <f ca="1">J372</f>
        <v>26</v>
      </c>
      <c r="K365" s="463">
        <f t="shared" ca="1" si="161"/>
        <v>38.805970149253731</v>
      </c>
      <c r="L365" s="464"/>
      <c r="M365" s="464"/>
      <c r="N365" s="464"/>
      <c r="O365" s="464"/>
      <c r="P365" s="464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</row>
    <row r="366" spans="1:26" ht="19">
      <c r="A366" s="456"/>
      <c r="B366" s="457"/>
      <c r="C366" s="458"/>
      <c r="D366" s="465" t="s">
        <v>167</v>
      </c>
      <c r="E366" s="459"/>
      <c r="F366" s="459"/>
      <c r="G366" s="460"/>
      <c r="H366" s="466"/>
      <c r="I366" s="467"/>
      <c r="J366" s="467"/>
      <c r="K366" s="464"/>
      <c r="L366" s="464"/>
      <c r="M366" s="464"/>
      <c r="N366" s="464"/>
      <c r="O366" s="464"/>
      <c r="P366" s="464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</row>
    <row r="367" spans="1:26" ht="19">
      <c r="A367" s="169"/>
      <c r="B367" s="170"/>
      <c r="C367" s="163" t="s">
        <v>16</v>
      </c>
      <c r="D367" s="796" t="s">
        <v>38</v>
      </c>
      <c r="E367" s="172"/>
      <c r="F367" s="172"/>
      <c r="G367" s="173"/>
      <c r="H367" s="174"/>
      <c r="I367" s="37"/>
      <c r="J367" s="37"/>
      <c r="K367" s="38"/>
      <c r="L367" s="162"/>
      <c r="M367" s="162"/>
      <c r="N367" s="162"/>
      <c r="O367" s="162"/>
      <c r="P367" s="162"/>
    </row>
    <row r="368" spans="1:26" ht="19">
      <c r="A368" s="169"/>
      <c r="B368" s="177"/>
      <c r="C368" s="170"/>
      <c r="D368" s="177"/>
      <c r="E368" s="175" t="s">
        <v>161</v>
      </c>
      <c r="F368" s="177"/>
      <c r="G368" s="178"/>
      <c r="H368" s="182" t="s">
        <v>35</v>
      </c>
      <c r="I368" s="37">
        <v>0</v>
      </c>
      <c r="J368" s="37">
        <f ca="1">IFERROR(__xludf.DUMMYFUNCTION("IMPORTRANGE(""https://docs.google.com/spreadsheets/d/1XWAQStnk-4SwqDmLtmXYiTMKHgktTP8We1SCoS47DrQ/edit?usp=sharing"",""จัดที่ดิน!E82"")"),5)</f>
        <v>5</v>
      </c>
      <c r="K368" s="38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9">
      <c r="A369" s="169"/>
      <c r="B369" s="177"/>
      <c r="C369" s="170"/>
      <c r="D369" s="177"/>
      <c r="E369" s="177"/>
      <c r="F369" s="177"/>
      <c r="G369" s="178"/>
      <c r="H369" s="182" t="s">
        <v>46</v>
      </c>
      <c r="I369" s="37">
        <f ca="1">IFERROR(__xludf.DUMMYFUNCTION("IMPORTRANGE(""https://docs.google.com/spreadsheets/d/1QqKyyYR6Q21VydFLVH3TRQUabQu_ym0Zz7PgGX0-kHA/edit?usp=sharing"",""แผน!EI82"")"),670)</f>
        <v>670</v>
      </c>
      <c r="J369" s="37">
        <f ca="1">IFERROR(__xludf.DUMMYFUNCTION("IMPORTRANGE(""https://docs.google.com/spreadsheets/d/1XWAQStnk-4SwqDmLtmXYiTMKHgktTP8We1SCoS47DrQ/edit?usp=sharing"",""จัดที่ดิน!F82"")"),26.14)</f>
        <v>26.14</v>
      </c>
      <c r="K369" s="38">
        <f t="shared" ca="1" si="163"/>
        <v>3.901492537313433</v>
      </c>
      <c r="L369" s="162"/>
      <c r="M369" s="162"/>
      <c r="N369" s="162"/>
      <c r="O369" s="162"/>
      <c r="P369" s="162"/>
    </row>
    <row r="370" spans="1:26" ht="19">
      <c r="A370" s="169"/>
      <c r="B370" s="177"/>
      <c r="C370" s="170"/>
      <c r="D370" s="177"/>
      <c r="E370" s="175" t="s">
        <v>162</v>
      </c>
      <c r="F370" s="177"/>
      <c r="G370" s="178"/>
      <c r="H370" s="180" t="s">
        <v>35</v>
      </c>
      <c r="I370" s="37">
        <f ca="1">IFERROR(__xludf.DUMMYFUNCTION("IMPORTRANGE(""https://docs.google.com/spreadsheets/d/1QqKyyYR6Q21VydFLVH3TRQUabQu_ym0Zz7PgGX0-kHA/edit?usp=sharing"",""แผน!EJ82"")"),67)</f>
        <v>67</v>
      </c>
      <c r="J370" s="37">
        <f ca="1">IFERROR(__xludf.DUMMYFUNCTION("IMPORTRANGE(""https://docs.google.com/spreadsheets/d/1XWAQStnk-4SwqDmLtmXYiTMKHgktTP8We1SCoS47DrQ/edit?usp=sharing"",""จัดที่ดิน!G82"")"),25)</f>
        <v>25</v>
      </c>
      <c r="K370" s="38">
        <f t="shared" ca="1" si="163"/>
        <v>37.313432835820898</v>
      </c>
      <c r="L370" s="162"/>
      <c r="M370" s="162"/>
      <c r="N370" s="162"/>
      <c r="O370" s="162"/>
      <c r="P370" s="162"/>
    </row>
    <row r="371" spans="1:26" ht="19">
      <c r="A371" s="169"/>
      <c r="B371" s="177"/>
      <c r="C371" s="170"/>
      <c r="D371" s="177"/>
      <c r="E371" s="177"/>
      <c r="F371" s="177"/>
      <c r="G371" s="178"/>
      <c r="H371" s="180" t="s">
        <v>46</v>
      </c>
      <c r="I371" s="37">
        <v>0</v>
      </c>
      <c r="J371" s="37">
        <f ca="1">IFERROR(__xludf.DUMMYFUNCTION("IMPORTRANGE(""https://docs.google.com/spreadsheets/d/1XWAQStnk-4SwqDmLtmXYiTMKHgktTP8We1SCoS47DrQ/edit?usp=sharing"",""จัดที่ดิน!H82"")"),65.77)</f>
        <v>65.77</v>
      </c>
      <c r="K371" s="38">
        <f t="shared" si="163"/>
        <v>0</v>
      </c>
      <c r="L371" s="162"/>
      <c r="M371" s="162"/>
      <c r="N371" s="162"/>
      <c r="O371" s="162"/>
      <c r="P371" s="162"/>
    </row>
    <row r="372" spans="1:26" ht="19">
      <c r="A372" s="169"/>
      <c r="B372" s="177"/>
      <c r="C372" s="170"/>
      <c r="D372" s="177"/>
      <c r="E372" s="175" t="s">
        <v>163</v>
      </c>
      <c r="F372" s="177"/>
      <c r="G372" s="178"/>
      <c r="H372" s="180" t="s">
        <v>35</v>
      </c>
      <c r="I372" s="37">
        <f ca="1">IFERROR(__xludf.DUMMYFUNCTION("IMPORTRANGE(""https://docs.google.com/spreadsheets/d/1QqKyyYR6Q21VydFLVH3TRQUabQu_ym0Zz7PgGX0-kHA/edit?usp=sharing"",""แผน!EJ82"")"),67)</f>
        <v>67</v>
      </c>
      <c r="J372" s="37">
        <f ca="1">IFERROR(__xludf.DUMMYFUNCTION("IMPORTRANGE(""https://docs.google.com/spreadsheets/d/1XWAQStnk-4SwqDmLtmXYiTMKHgktTP8We1SCoS47DrQ/edit?usp=sharing"",""จัดที่ดิน!I82"")"),26)</f>
        <v>26</v>
      </c>
      <c r="K372" s="38">
        <f t="shared" ca="1" si="163"/>
        <v>38.805970149253731</v>
      </c>
      <c r="L372" s="162"/>
      <c r="M372" s="162"/>
      <c r="N372" s="162"/>
      <c r="O372" s="162"/>
      <c r="P372" s="162"/>
    </row>
    <row r="373" spans="1:26" ht="19">
      <c r="A373" s="444" t="s">
        <v>164</v>
      </c>
      <c r="B373" s="177"/>
      <c r="C373" s="170"/>
      <c r="D373" s="177"/>
      <c r="E373" s="176"/>
      <c r="F373" s="177"/>
      <c r="G373" s="178"/>
      <c r="H373" s="180" t="s">
        <v>46</v>
      </c>
      <c r="I373" s="37">
        <v>0</v>
      </c>
      <c r="J373" s="37">
        <f ca="1">IFERROR(__xludf.DUMMYFUNCTION("IMPORTRANGE(""https://docs.google.com/spreadsheets/d/1XWAQStnk-4SwqDmLtmXYiTMKHgktTP8We1SCoS47DrQ/edit?usp=sharing"",""จัดที่ดิน!J82"")"),66.42)</f>
        <v>66.42</v>
      </c>
      <c r="K373" s="38">
        <f t="shared" si="163"/>
        <v>0</v>
      </c>
      <c r="L373" s="162"/>
      <c r="M373" s="162"/>
      <c r="N373" s="162"/>
      <c r="O373" s="162"/>
      <c r="P373" s="162"/>
    </row>
    <row r="374" spans="1:26" ht="19">
      <c r="A374" s="456"/>
      <c r="B374" s="457"/>
      <c r="C374" s="458"/>
      <c r="D374" s="458" t="s">
        <v>168</v>
      </c>
      <c r="E374" s="459"/>
      <c r="F374" s="459"/>
      <c r="G374" s="460"/>
      <c r="H374" s="461" t="s">
        <v>35</v>
      </c>
      <c r="I374" s="468">
        <f ca="1">IFERROR(__xludf.DUMMYFUNCTION("IMPORTRANGE(""https://docs.google.com/spreadsheets/d/1QqKyyYR6Q21VydFLVH3TRQUabQu_ym0Zz7PgGX0-kHA/edit?usp=sharing"",""แผน!EU82"")"),200)</f>
        <v>200</v>
      </c>
      <c r="J374" s="462">
        <f ca="1">J381</f>
        <v>142</v>
      </c>
      <c r="K374" s="463">
        <f t="shared" ca="1" si="163"/>
        <v>71</v>
      </c>
      <c r="L374" s="464"/>
      <c r="M374" s="464"/>
      <c r="N374" s="464"/>
      <c r="O374" s="464"/>
      <c r="P374" s="464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</row>
    <row r="375" spans="1:26" ht="19">
      <c r="A375" s="456"/>
      <c r="B375" s="457"/>
      <c r="C375" s="458"/>
      <c r="D375" s="465" t="s">
        <v>169</v>
      </c>
      <c r="E375" s="459"/>
      <c r="F375" s="459"/>
      <c r="G375" s="460"/>
      <c r="H375" s="466"/>
      <c r="I375" s="467"/>
      <c r="J375" s="467"/>
      <c r="K375" s="464"/>
      <c r="L375" s="464"/>
      <c r="M375" s="464"/>
      <c r="N375" s="464"/>
      <c r="O375" s="464"/>
      <c r="P375" s="464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</row>
    <row r="376" spans="1:26" ht="19">
      <c r="A376" s="169"/>
      <c r="B376" s="170"/>
      <c r="C376" s="163" t="s">
        <v>16</v>
      </c>
      <c r="D376" s="796" t="s">
        <v>38</v>
      </c>
      <c r="E376" s="172"/>
      <c r="F376" s="172"/>
      <c r="G376" s="173"/>
      <c r="H376" s="174"/>
      <c r="I376" s="37"/>
      <c r="J376" s="37"/>
      <c r="K376" s="38"/>
      <c r="L376" s="162"/>
      <c r="M376" s="162"/>
      <c r="N376" s="162"/>
      <c r="O376" s="162"/>
      <c r="P376" s="162"/>
    </row>
    <row r="377" spans="1:26" ht="19">
      <c r="A377" s="169"/>
      <c r="B377" s="177"/>
      <c r="C377" s="170"/>
      <c r="D377" s="177"/>
      <c r="E377" s="175" t="s">
        <v>161</v>
      </c>
      <c r="F377" s="177"/>
      <c r="G377" s="178"/>
      <c r="H377" s="182" t="s">
        <v>35</v>
      </c>
      <c r="I377" s="37">
        <v>0</v>
      </c>
      <c r="J377" s="37">
        <f ca="1">IFERROR(__xludf.DUMMYFUNCTION("IMPORTRANGE(""https://docs.google.com/spreadsheets/d/1XWAQStnk-4SwqDmLtmXYiTMKHgktTP8We1SCoS47DrQ/edit?usp=sharing"",""จัดที่ดิน!AH82"")"),10)</f>
        <v>10</v>
      </c>
      <c r="K377" s="38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9">
      <c r="A378" s="169"/>
      <c r="B378" s="177"/>
      <c r="C378" s="170"/>
      <c r="D378" s="177"/>
      <c r="E378" s="177"/>
      <c r="F378" s="177"/>
      <c r="G378" s="178"/>
      <c r="H378" s="182" t="s">
        <v>46</v>
      </c>
      <c r="I378" s="37">
        <f ca="1">IFERROR(__xludf.DUMMYFUNCTION("IMPORTRANGE(""https://docs.google.com/spreadsheets/d/1QqKyyYR6Q21VydFLVH3TRQUabQu_ym0Zz7PgGX0-kHA/edit?usp=sharing"",""แผน!ET82"")"),300)</f>
        <v>300</v>
      </c>
      <c r="J378" s="37">
        <f ca="1">IFERROR(__xludf.DUMMYFUNCTION("IMPORTRANGE(""https://docs.google.com/spreadsheets/d/1XWAQStnk-4SwqDmLtmXYiTMKHgktTP8We1SCoS47DrQ/edit?usp=sharing"",""จัดที่ดิน!AI82"")"),30.54)</f>
        <v>30.54</v>
      </c>
      <c r="K378" s="38">
        <f t="shared" ca="1" si="164"/>
        <v>10.18</v>
      </c>
      <c r="L378" s="162"/>
      <c r="M378" s="162"/>
      <c r="N378" s="162"/>
      <c r="O378" s="162"/>
      <c r="P378" s="162"/>
    </row>
    <row r="379" spans="1:26" ht="19">
      <c r="A379" s="169"/>
      <c r="B379" s="177"/>
      <c r="C379" s="170"/>
      <c r="D379" s="177"/>
      <c r="E379" s="175" t="s">
        <v>162</v>
      </c>
      <c r="F379" s="177"/>
      <c r="G379" s="178"/>
      <c r="H379" s="180" t="s">
        <v>35</v>
      </c>
      <c r="I379" s="37">
        <f ca="1">IFERROR(__xludf.DUMMYFUNCTION("IMPORTRANGE(""https://docs.google.com/spreadsheets/d/1QqKyyYR6Q21VydFLVH3TRQUabQu_ym0Zz7PgGX0-kHA/edit?usp=sharing"",""แผน!EU82"")"),200)</f>
        <v>200</v>
      </c>
      <c r="J379" s="37">
        <f ca="1">IFERROR(__xludf.DUMMYFUNCTION("IMPORTRANGE(""https://docs.google.com/spreadsheets/d/1XWAQStnk-4SwqDmLtmXYiTMKHgktTP8We1SCoS47DrQ/edit?usp=sharing"",""จัดที่ดิน!AJ82"")"),141)</f>
        <v>141</v>
      </c>
      <c r="K379" s="38">
        <f t="shared" ca="1" si="164"/>
        <v>70.5</v>
      </c>
      <c r="L379" s="162"/>
      <c r="M379" s="162"/>
      <c r="N379" s="162"/>
      <c r="O379" s="162"/>
      <c r="P379" s="162"/>
    </row>
    <row r="380" spans="1:26" ht="19">
      <c r="A380" s="169"/>
      <c r="B380" s="177"/>
      <c r="C380" s="170"/>
      <c r="D380" s="177"/>
      <c r="E380" s="177"/>
      <c r="F380" s="177"/>
      <c r="G380" s="178"/>
      <c r="H380" s="180" t="s">
        <v>46</v>
      </c>
      <c r="I380" s="37">
        <v>0</v>
      </c>
      <c r="J380" s="37">
        <f ca="1">IFERROR(__xludf.DUMMYFUNCTION("IMPORTRANGE(""https://docs.google.com/spreadsheets/d/1XWAQStnk-4SwqDmLtmXYiTMKHgktTP8We1SCoS47DrQ/edit?usp=sharing"",""จัดที่ดิน!AK82"")"),947.41)</f>
        <v>947.41</v>
      </c>
      <c r="K380" s="38">
        <f t="shared" si="164"/>
        <v>0</v>
      </c>
      <c r="L380" s="162"/>
      <c r="M380" s="162"/>
      <c r="N380" s="162"/>
      <c r="O380" s="162"/>
      <c r="P380" s="162"/>
    </row>
    <row r="381" spans="1:26" ht="19">
      <c r="A381" s="169"/>
      <c r="B381" s="177"/>
      <c r="C381" s="170"/>
      <c r="D381" s="177"/>
      <c r="E381" s="175" t="s">
        <v>163</v>
      </c>
      <c r="F381" s="177"/>
      <c r="G381" s="178"/>
      <c r="H381" s="180" t="s">
        <v>35</v>
      </c>
      <c r="I381" s="37">
        <f ca="1">IFERROR(__xludf.DUMMYFUNCTION("IMPORTRANGE(""https://docs.google.com/spreadsheets/d/1QqKyyYR6Q21VydFLVH3TRQUabQu_ym0Zz7PgGX0-kHA/edit?usp=sharing"",""แผน!EU82"")"),200)</f>
        <v>200</v>
      </c>
      <c r="J381" s="37">
        <f ca="1">IFERROR(__xludf.DUMMYFUNCTION("IMPORTRANGE(""https://docs.google.com/spreadsheets/d/1XWAQStnk-4SwqDmLtmXYiTMKHgktTP8We1SCoS47DrQ/edit?usp=sharing"",""จัดที่ดิน!AL82"")"),142)</f>
        <v>142</v>
      </c>
      <c r="K381" s="38">
        <f t="shared" ca="1" si="164"/>
        <v>71</v>
      </c>
      <c r="L381" s="162"/>
      <c r="M381" s="162"/>
      <c r="N381" s="162"/>
      <c r="O381" s="162"/>
      <c r="P381" s="162"/>
    </row>
    <row r="382" spans="1:26" ht="19">
      <c r="A382" s="444" t="s">
        <v>164</v>
      </c>
      <c r="B382" s="177"/>
      <c r="C382" s="170"/>
      <c r="D382" s="177"/>
      <c r="E382" s="176"/>
      <c r="F382" s="177"/>
      <c r="G382" s="178"/>
      <c r="H382" s="180" t="s">
        <v>46</v>
      </c>
      <c r="I382" s="37">
        <v>0</v>
      </c>
      <c r="J382" s="37">
        <f ca="1">IFERROR(__xludf.DUMMYFUNCTION("IMPORTRANGE(""https://docs.google.com/spreadsheets/d/1XWAQStnk-4SwqDmLtmXYiTMKHgktTP8We1SCoS47DrQ/edit?usp=sharing"",""จัดที่ดิน!AM82"")"),949.78)</f>
        <v>949.78</v>
      </c>
      <c r="K382" s="38">
        <f t="shared" si="164"/>
        <v>0</v>
      </c>
      <c r="L382" s="162"/>
      <c r="M382" s="162"/>
      <c r="N382" s="162"/>
      <c r="O382" s="162"/>
      <c r="P382" s="162"/>
    </row>
    <row r="383" spans="1:26" ht="19">
      <c r="A383" s="469"/>
      <c r="B383" s="470"/>
      <c r="C383" s="277"/>
      <c r="D383" s="807" t="s">
        <v>170</v>
      </c>
      <c r="E383" s="277"/>
      <c r="F383" s="277"/>
      <c r="G383" s="472"/>
      <c r="H383" s="430"/>
      <c r="I383" s="250"/>
      <c r="J383" s="250"/>
      <c r="K383" s="251"/>
      <c r="L383" s="251"/>
      <c r="M383" s="251"/>
      <c r="N383" s="251"/>
      <c r="O383" s="251"/>
      <c r="P383" s="251"/>
    </row>
    <row r="384" spans="1:26" ht="19">
      <c r="A384" s="169"/>
      <c r="B384" s="170"/>
      <c r="C384" s="33" t="s">
        <v>16</v>
      </c>
      <c r="D384" s="796" t="s">
        <v>38</v>
      </c>
      <c r="E384" s="172"/>
      <c r="F384" s="172"/>
      <c r="G384" s="173"/>
      <c r="H384" s="174"/>
      <c r="I384" s="37"/>
      <c r="J384" s="37"/>
      <c r="K384" s="38"/>
      <c r="L384" s="162"/>
      <c r="M384" s="162"/>
      <c r="N384" s="162"/>
      <c r="O384" s="162"/>
      <c r="P384" s="162"/>
    </row>
    <row r="385" spans="1:26" ht="19">
      <c r="A385" s="360"/>
      <c r="B385" s="363"/>
      <c r="C385" s="361"/>
      <c r="D385" s="363"/>
      <c r="E385" s="473" t="s">
        <v>171</v>
      </c>
      <c r="F385" s="363"/>
      <c r="G385" s="364"/>
      <c r="H385" s="474" t="s">
        <v>35</v>
      </c>
      <c r="I385" s="365">
        <f ca="1">IFERROR(__xludf.DUMMYFUNCTION("IMPORTRANGE(""https://docs.google.com/spreadsheets/d/1QqKyyYR6Q21VydFLVH3TRQUabQu_ym0Zz7PgGX0-kHA/edit?usp=sharing"",""แผน!EW82"")"),10)</f>
        <v>10</v>
      </c>
      <c r="J385" s="365">
        <f ca="1">IFERROR(__xludf.DUMMYFUNCTION("IMPORTRANGE(""https://docs.google.com/spreadsheets/d/1XWAQStnk-4SwqDmLtmXYiTMKHgktTP8We1SCoS47DrQ/edit?usp=sharing"",""จัดที่ดิน!AP82"")"),8)</f>
        <v>8</v>
      </c>
      <c r="K385" s="475">
        <f ca="1">IF(I385&gt;0,J385*100/I385,0)</f>
        <v>80</v>
      </c>
      <c r="L385" s="366"/>
      <c r="M385" s="366"/>
      <c r="N385" s="366"/>
      <c r="O385" s="366"/>
      <c r="P385" s="366"/>
    </row>
    <row r="386" spans="1:26" ht="19" hidden="1">
      <c r="A386" s="476" t="s">
        <v>172</v>
      </c>
      <c r="B386" s="477"/>
      <c r="C386" s="477"/>
      <c r="D386" s="477"/>
      <c r="E386" s="478"/>
      <c r="F386" s="478"/>
      <c r="G386" s="479"/>
      <c r="H386" s="480"/>
      <c r="I386" s="481"/>
      <c r="J386" s="481"/>
      <c r="K386" s="482"/>
      <c r="L386" s="482"/>
      <c r="M386" s="482"/>
      <c r="N386" s="482"/>
      <c r="O386" s="482"/>
      <c r="P386" s="482"/>
    </row>
    <row r="387" spans="1:26" ht="19" hidden="1">
      <c r="A387" s="483" t="s">
        <v>173</v>
      </c>
      <c r="B387" s="484"/>
      <c r="C387" s="484"/>
      <c r="D387" s="485"/>
      <c r="E387" s="484"/>
      <c r="F387" s="484"/>
      <c r="G387" s="484"/>
      <c r="H387" s="486"/>
      <c r="I387" s="487"/>
      <c r="J387" s="487"/>
      <c r="K387" s="488"/>
      <c r="L387" s="488"/>
      <c r="M387" s="488"/>
      <c r="N387" s="488"/>
      <c r="O387" s="488"/>
      <c r="P387" s="488"/>
    </row>
    <row r="388" spans="1:26" ht="19" hidden="1">
      <c r="A388" s="489"/>
      <c r="B388" s="490" t="s">
        <v>174</v>
      </c>
      <c r="C388" s="491"/>
      <c r="D388" s="492"/>
      <c r="E388" s="492"/>
      <c r="F388" s="492"/>
      <c r="G388" s="493"/>
      <c r="H388" s="494" t="s">
        <v>66</v>
      </c>
      <c r="I388" s="495">
        <f t="shared" ref="I388:J388" si="165">I400</f>
        <v>0</v>
      </c>
      <c r="J388" s="495">
        <f t="shared" si="165"/>
        <v>0</v>
      </c>
      <c r="K388" s="496">
        <f>IF(I388&gt;0,J388*100/I388,0)</f>
        <v>0</v>
      </c>
      <c r="L388" s="497"/>
      <c r="M388" s="497"/>
      <c r="N388" s="497"/>
      <c r="O388" s="497"/>
      <c r="P388" s="497"/>
    </row>
    <row r="389" spans="1:26" ht="19" hidden="1">
      <c r="A389" s="146"/>
      <c r="B389" s="147"/>
      <c r="C389" s="148" t="s">
        <v>16</v>
      </c>
      <c r="D389" s="795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9" hidden="1">
      <c r="A390" s="155"/>
      <c r="B390" s="40"/>
      <c r="C390" s="40"/>
      <c r="D390" s="40"/>
      <c r="E390" s="41" t="s">
        <v>18</v>
      </c>
      <c r="F390" s="40"/>
      <c r="G390" s="156"/>
      <c r="H390" s="157" t="s">
        <v>12</v>
      </c>
      <c r="I390" s="44"/>
      <c r="J390" s="44"/>
      <c r="K390" s="45"/>
      <c r="L390" s="45">
        <f t="shared" ref="L390:N391" si="169">L393+L396</f>
        <v>0</v>
      </c>
      <c r="M390" s="45">
        <f t="shared" si="169"/>
        <v>0</v>
      </c>
      <c r="N390" s="45">
        <f t="shared" si="169"/>
        <v>0</v>
      </c>
      <c r="O390" s="45">
        <f t="shared" si="167"/>
        <v>0</v>
      </c>
      <c r="P390" s="45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9" hidden="1">
      <c r="A391" s="155"/>
      <c r="B391" s="40"/>
      <c r="C391" s="40"/>
      <c r="D391" s="40"/>
      <c r="E391" s="41" t="s">
        <v>19</v>
      </c>
      <c r="F391" s="40"/>
      <c r="G391" s="156"/>
      <c r="H391" s="157" t="s">
        <v>12</v>
      </c>
      <c r="I391" s="44"/>
      <c r="J391" s="44"/>
      <c r="K391" s="45"/>
      <c r="L391" s="45">
        <f t="shared" ca="1" si="169"/>
        <v>0</v>
      </c>
      <c r="M391" s="45">
        <f t="shared" ca="1" si="169"/>
        <v>0</v>
      </c>
      <c r="N391" s="45">
        <f t="shared" ca="1" si="169"/>
        <v>0</v>
      </c>
      <c r="O391" s="45">
        <f t="shared" ca="1" si="167"/>
        <v>0</v>
      </c>
      <c r="P391" s="45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9" hidden="1">
      <c r="A392" s="158"/>
      <c r="B392" s="33"/>
      <c r="C392" s="159"/>
      <c r="D392" s="34" t="s">
        <v>20</v>
      </c>
      <c r="E392" s="33"/>
      <c r="F392" s="33"/>
      <c r="G392" s="35"/>
      <c r="H392" s="160" t="s">
        <v>12</v>
      </c>
      <c r="I392" s="161"/>
      <c r="J392" s="161"/>
      <c r="K392" s="162"/>
      <c r="L392" s="38">
        <f t="shared" ref="L392:N392" ca="1" si="170">L393+L394</f>
        <v>0</v>
      </c>
      <c r="M392" s="38">
        <f t="shared" ca="1" si="170"/>
        <v>0</v>
      </c>
      <c r="N392" s="38">
        <f t="shared" ca="1" si="170"/>
        <v>0</v>
      </c>
      <c r="O392" s="38">
        <f t="shared" ca="1" si="167"/>
        <v>0</v>
      </c>
      <c r="P392" s="3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" hidden="1">
      <c r="A393" s="155"/>
      <c r="B393" s="40"/>
      <c r="C393" s="163"/>
      <c r="D393" s="40"/>
      <c r="E393" s="41" t="s">
        <v>36</v>
      </c>
      <c r="F393" s="40"/>
      <c r="G393" s="156"/>
      <c r="H393" s="164" t="s">
        <v>12</v>
      </c>
      <c r="I393" s="165"/>
      <c r="J393" s="165"/>
      <c r="K393" s="166"/>
      <c r="L393" s="45">
        <v>0</v>
      </c>
      <c r="M393" s="45">
        <v>0</v>
      </c>
      <c r="N393" s="45">
        <v>0</v>
      </c>
      <c r="O393" s="45">
        <f t="shared" si="167"/>
        <v>0</v>
      </c>
      <c r="P393" s="45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" hidden="1">
      <c r="A394" s="155"/>
      <c r="B394" s="40"/>
      <c r="C394" s="163"/>
      <c r="D394" s="40"/>
      <c r="E394" s="41" t="s">
        <v>37</v>
      </c>
      <c r="F394" s="40"/>
      <c r="G394" s="156"/>
      <c r="H394" s="164" t="s">
        <v>12</v>
      </c>
      <c r="I394" s="165"/>
      <c r="J394" s="165"/>
      <c r="K394" s="166"/>
      <c r="L394" s="45">
        <f ca="1">IFERROR(__xludf.DUMMYFUNCTION("IMPORTRANGE(""https://docs.google.com/spreadsheets/d/1MeEWN-I1oV_STSDYn1IFDPWt_1FKiwhDph83XaGc0o0/edit?usp=sharing"",""งบพรบ!FG82"")"),0)</f>
        <v>0</v>
      </c>
      <c r="M394" s="45">
        <f ca="1">IFERROR(__xludf.DUMMYFUNCTION("IMPORTRANGE(""https://docs.google.com/spreadsheets/d/1MeEWN-I1oV_STSDYn1IFDPWt_1FKiwhDph83XaGc0o0/edit?usp=sharing"",""งบพรบ!FL82"")"),0)</f>
        <v>0</v>
      </c>
      <c r="N394" s="45">
        <f ca="1">IFERROR(__xludf.DUMMYFUNCTION("IMPORTRANGE(""https://docs.google.com/spreadsheets/d/1MeEWN-I1oV_STSDYn1IFDPWt_1FKiwhDph83XaGc0o0/edit?usp=sharing"",""งบพรบ!FN82"")"),0)</f>
        <v>0</v>
      </c>
      <c r="O394" s="45">
        <f t="shared" ca="1" si="167"/>
        <v>0</v>
      </c>
      <c r="P394" s="45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9" hidden="1">
      <c r="A395" s="158"/>
      <c r="B395" s="33"/>
      <c r="C395" s="159"/>
      <c r="D395" s="34" t="s">
        <v>21</v>
      </c>
      <c r="E395" s="33"/>
      <c r="F395" s="33"/>
      <c r="G395" s="35"/>
      <c r="H395" s="167" t="s">
        <v>12</v>
      </c>
      <c r="I395" s="161"/>
      <c r="J395" s="161"/>
      <c r="K395" s="162"/>
      <c r="L395" s="38">
        <f t="shared" ref="L395:N395" ca="1" si="171">L396+L397</f>
        <v>0</v>
      </c>
      <c r="M395" s="38">
        <f t="shared" ca="1" si="171"/>
        <v>0</v>
      </c>
      <c r="N395" s="38">
        <f t="shared" ca="1" si="171"/>
        <v>0</v>
      </c>
      <c r="O395" s="38">
        <f t="shared" ca="1" si="167"/>
        <v>0</v>
      </c>
      <c r="P395" s="3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" hidden="1">
      <c r="A396" s="155"/>
      <c r="B396" s="40"/>
      <c r="C396" s="163"/>
      <c r="D396" s="40"/>
      <c r="E396" s="41" t="s">
        <v>18</v>
      </c>
      <c r="F396" s="40"/>
      <c r="G396" s="156"/>
      <c r="H396" s="164" t="s">
        <v>12</v>
      </c>
      <c r="I396" s="165"/>
      <c r="J396" s="165"/>
      <c r="K396" s="166"/>
      <c r="L396" s="45">
        <v>0</v>
      </c>
      <c r="M396" s="45">
        <v>0</v>
      </c>
      <c r="N396" s="45">
        <v>0</v>
      </c>
      <c r="O396" s="45">
        <f t="shared" si="167"/>
        <v>0</v>
      </c>
      <c r="P396" s="45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" hidden="1">
      <c r="A397" s="155"/>
      <c r="B397" s="40"/>
      <c r="C397" s="163"/>
      <c r="D397" s="40"/>
      <c r="E397" s="41" t="s">
        <v>19</v>
      </c>
      <c r="F397" s="40"/>
      <c r="G397" s="156"/>
      <c r="H397" s="168" t="s">
        <v>12</v>
      </c>
      <c r="I397" s="165"/>
      <c r="J397" s="165"/>
      <c r="K397" s="166"/>
      <c r="L397" s="45">
        <f ca="1">IFERROR(__xludf.DUMMYFUNCTION("IMPORTRANGE(""https://docs.google.com/spreadsheets/d/1MeEWN-I1oV_STSDYn1IFDPWt_1FKiwhDph83XaGc0o0/edit?usp=sharing"",""งบพรบ!FJ82"")"),0)</f>
        <v>0</v>
      </c>
      <c r="M397" s="45">
        <f ca="1">IFERROR(__xludf.DUMMYFUNCTION("IMPORTRANGE(""https://docs.google.com/spreadsheets/d/1MeEWN-I1oV_STSDYn1IFDPWt_1FKiwhDph83XaGc0o0/edit?usp=sharing"",""งบพรบ!FM82"")"),0)</f>
        <v>0</v>
      </c>
      <c r="N397" s="45">
        <f ca="1">IFERROR(__xludf.DUMMYFUNCTION("IMPORTRANGE(""https://docs.google.com/spreadsheets/d/1MeEWN-I1oV_STSDYn1IFDPWt_1FKiwhDph83XaGc0o0/edit?usp=sharing"",""งบพรบ!FO82"")"),0)</f>
        <v>0</v>
      </c>
      <c r="O397" s="45">
        <f t="shared" ca="1" si="167"/>
        <v>0</v>
      </c>
      <c r="P397" s="45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" hidden="1">
      <c r="A398" s="169"/>
      <c r="B398" s="170"/>
      <c r="C398" s="163" t="s">
        <v>16</v>
      </c>
      <c r="D398" s="796" t="s">
        <v>38</v>
      </c>
      <c r="E398" s="172"/>
      <c r="F398" s="172"/>
      <c r="G398" s="173"/>
      <c r="H398" s="174"/>
      <c r="I398" s="161"/>
      <c r="J398" s="37"/>
      <c r="K398" s="38"/>
      <c r="L398" s="38"/>
      <c r="M398" s="38"/>
      <c r="N398" s="38"/>
      <c r="O398" s="162"/>
      <c r="P398" s="162"/>
    </row>
    <row r="399" spans="1:26" ht="19" hidden="1">
      <c r="A399" s="498"/>
      <c r="B399" s="147"/>
      <c r="C399" s="499"/>
      <c r="D399" s="193" t="s">
        <v>175</v>
      </c>
      <c r="E399" s="395"/>
      <c r="F399" s="147"/>
      <c r="G399" s="150"/>
      <c r="H399" s="500" t="s">
        <v>9</v>
      </c>
      <c r="I399" s="37">
        <v>0</v>
      </c>
      <c r="J399" s="181">
        <v>0</v>
      </c>
      <c r="K399" s="38">
        <f t="shared" ref="K399:K401" si="172">IF(I399&gt;0,J399*100/I399,0)</f>
        <v>0</v>
      </c>
      <c r="L399" s="501"/>
      <c r="M399" s="501"/>
      <c r="N399" s="501"/>
      <c r="O399" s="501"/>
      <c r="P399" s="501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9" hidden="1">
      <c r="A400" s="271"/>
      <c r="B400" s="33"/>
      <c r="C400" s="269"/>
      <c r="D400" s="176" t="s">
        <v>176</v>
      </c>
      <c r="E400" s="170"/>
      <c r="F400" s="33"/>
      <c r="G400" s="35"/>
      <c r="H400" s="265" t="s">
        <v>66</v>
      </c>
      <c r="I400" s="37">
        <v>0</v>
      </c>
      <c r="J400" s="181">
        <v>0</v>
      </c>
      <c r="K400" s="38">
        <f t="shared" si="172"/>
        <v>0</v>
      </c>
      <c r="L400" s="38"/>
      <c r="M400" s="38"/>
      <c r="N400" s="38"/>
      <c r="O400" s="38"/>
      <c r="P400" s="38"/>
    </row>
    <row r="401" spans="1:26" ht="19" hidden="1">
      <c r="A401" s="489"/>
      <c r="B401" s="490" t="s">
        <v>177</v>
      </c>
      <c r="C401" s="491"/>
      <c r="D401" s="492"/>
      <c r="E401" s="492"/>
      <c r="F401" s="492"/>
      <c r="G401" s="493"/>
      <c r="H401" s="494" t="s">
        <v>66</v>
      </c>
      <c r="I401" s="495">
        <f t="shared" ref="I401:J401" si="173">I412</f>
        <v>0</v>
      </c>
      <c r="J401" s="495">
        <f t="shared" si="173"/>
        <v>0</v>
      </c>
      <c r="K401" s="496">
        <f t="shared" si="172"/>
        <v>0</v>
      </c>
      <c r="L401" s="497"/>
      <c r="M401" s="497"/>
      <c r="N401" s="497"/>
      <c r="O401" s="497"/>
      <c r="P401" s="497"/>
    </row>
    <row r="402" spans="1:26" ht="19" hidden="1">
      <c r="A402" s="146"/>
      <c r="B402" s="147"/>
      <c r="C402" s="148" t="s">
        <v>16</v>
      </c>
      <c r="D402" s="795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9" hidden="1">
      <c r="A403" s="155"/>
      <c r="B403" s="40"/>
      <c r="C403" s="40"/>
      <c r="D403" s="40"/>
      <c r="E403" s="41" t="s">
        <v>18</v>
      </c>
      <c r="F403" s="40"/>
      <c r="G403" s="156"/>
      <c r="H403" s="157" t="s">
        <v>12</v>
      </c>
      <c r="I403" s="44"/>
      <c r="J403" s="44"/>
      <c r="K403" s="45"/>
      <c r="L403" s="45">
        <f t="shared" ref="L403:N404" si="177">L406+L409</f>
        <v>0</v>
      </c>
      <c r="M403" s="45">
        <f t="shared" si="177"/>
        <v>0</v>
      </c>
      <c r="N403" s="45">
        <f t="shared" si="177"/>
        <v>0</v>
      </c>
      <c r="O403" s="45">
        <f t="shared" si="175"/>
        <v>0</v>
      </c>
      <c r="P403" s="45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9" hidden="1">
      <c r="A404" s="155"/>
      <c r="B404" s="40"/>
      <c r="C404" s="40"/>
      <c r="D404" s="40"/>
      <c r="E404" s="41" t="s">
        <v>19</v>
      </c>
      <c r="F404" s="40"/>
      <c r="G404" s="156"/>
      <c r="H404" s="157" t="s">
        <v>12</v>
      </c>
      <c r="I404" s="44"/>
      <c r="J404" s="44"/>
      <c r="K404" s="45"/>
      <c r="L404" s="45">
        <f t="shared" ca="1" si="177"/>
        <v>0</v>
      </c>
      <c r="M404" s="45">
        <f t="shared" ca="1" si="177"/>
        <v>0</v>
      </c>
      <c r="N404" s="45">
        <f t="shared" ca="1" si="177"/>
        <v>0</v>
      </c>
      <c r="O404" s="45">
        <f t="shared" ca="1" si="175"/>
        <v>0</v>
      </c>
      <c r="P404" s="45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9" hidden="1">
      <c r="A405" s="158"/>
      <c r="B405" s="33"/>
      <c r="C405" s="159"/>
      <c r="D405" s="34" t="s">
        <v>20</v>
      </c>
      <c r="E405" s="33"/>
      <c r="F405" s="33"/>
      <c r="G405" s="35"/>
      <c r="H405" s="160" t="s">
        <v>12</v>
      </c>
      <c r="I405" s="161"/>
      <c r="J405" s="161"/>
      <c r="K405" s="162"/>
      <c r="L405" s="38">
        <f t="shared" ref="L405:N405" ca="1" si="178">L406+L407</f>
        <v>0</v>
      </c>
      <c r="M405" s="38">
        <f t="shared" ca="1" si="178"/>
        <v>0</v>
      </c>
      <c r="N405" s="38">
        <f t="shared" ca="1" si="178"/>
        <v>0</v>
      </c>
      <c r="O405" s="38">
        <f t="shared" ca="1" si="175"/>
        <v>0</v>
      </c>
      <c r="P405" s="3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" hidden="1">
      <c r="A406" s="155"/>
      <c r="B406" s="40"/>
      <c r="C406" s="163"/>
      <c r="D406" s="40"/>
      <c r="E406" s="41" t="s">
        <v>36</v>
      </c>
      <c r="F406" s="40"/>
      <c r="G406" s="156"/>
      <c r="H406" s="164" t="s">
        <v>12</v>
      </c>
      <c r="I406" s="165"/>
      <c r="J406" s="165"/>
      <c r="K406" s="166"/>
      <c r="L406" s="45">
        <v>0</v>
      </c>
      <c r="M406" s="45">
        <v>0</v>
      </c>
      <c r="N406" s="45">
        <v>0</v>
      </c>
      <c r="O406" s="45">
        <f t="shared" si="175"/>
        <v>0</v>
      </c>
      <c r="P406" s="45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" hidden="1">
      <c r="A407" s="155"/>
      <c r="B407" s="40"/>
      <c r="C407" s="163"/>
      <c r="D407" s="40"/>
      <c r="E407" s="41" t="s">
        <v>37</v>
      </c>
      <c r="F407" s="40"/>
      <c r="G407" s="156"/>
      <c r="H407" s="164" t="s">
        <v>12</v>
      </c>
      <c r="I407" s="165"/>
      <c r="J407" s="165"/>
      <c r="K407" s="166"/>
      <c r="L407" s="45">
        <f ca="1">IFERROR(__xludf.DUMMYFUNCTION("IMPORTRANGE(""https://docs.google.com/spreadsheets/d/1MeEWN-I1oV_STSDYn1IFDPWt_1FKiwhDph83XaGc0o0/edit?usp=sharing"",""งบพรบ!FQ82"")"),0)</f>
        <v>0</v>
      </c>
      <c r="M407" s="45">
        <f ca="1">IFERROR(__xludf.DUMMYFUNCTION("IMPORTRANGE(""https://docs.google.com/spreadsheets/d/1MeEWN-I1oV_STSDYn1IFDPWt_1FKiwhDph83XaGc0o0/edit?usp=sharing"",""งบพรบ!FV82"")"),0)</f>
        <v>0</v>
      </c>
      <c r="N407" s="45">
        <f ca="1">IFERROR(__xludf.DUMMYFUNCTION("IMPORTRANGE(""https://docs.google.com/spreadsheets/d/1MeEWN-I1oV_STSDYn1IFDPWt_1FKiwhDph83XaGc0o0/edit?usp=sharing"",""งบพรบ!FX82"")"),0)</f>
        <v>0</v>
      </c>
      <c r="O407" s="45">
        <f t="shared" ca="1" si="175"/>
        <v>0</v>
      </c>
      <c r="P407" s="45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9" hidden="1">
      <c r="A408" s="158"/>
      <c r="B408" s="33"/>
      <c r="C408" s="159"/>
      <c r="D408" s="34" t="s">
        <v>21</v>
      </c>
      <c r="E408" s="33"/>
      <c r="F408" s="33"/>
      <c r="G408" s="35"/>
      <c r="H408" s="167" t="s">
        <v>12</v>
      </c>
      <c r="I408" s="161"/>
      <c r="J408" s="161"/>
      <c r="K408" s="162"/>
      <c r="L408" s="38">
        <f t="shared" ref="L408:N408" ca="1" si="179">L409+L410</f>
        <v>0</v>
      </c>
      <c r="M408" s="38">
        <f t="shared" ca="1" si="179"/>
        <v>0</v>
      </c>
      <c r="N408" s="38">
        <f t="shared" ca="1" si="179"/>
        <v>0</v>
      </c>
      <c r="O408" s="38">
        <f t="shared" ca="1" si="175"/>
        <v>0</v>
      </c>
      <c r="P408" s="3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" hidden="1">
      <c r="A409" s="155"/>
      <c r="B409" s="40"/>
      <c r="C409" s="163"/>
      <c r="D409" s="40"/>
      <c r="E409" s="41" t="s">
        <v>18</v>
      </c>
      <c r="F409" s="40"/>
      <c r="G409" s="156"/>
      <c r="H409" s="164" t="s">
        <v>12</v>
      </c>
      <c r="I409" s="165"/>
      <c r="J409" s="165"/>
      <c r="K409" s="166"/>
      <c r="L409" s="45">
        <v>0</v>
      </c>
      <c r="M409" s="45">
        <v>0</v>
      </c>
      <c r="N409" s="45">
        <v>0</v>
      </c>
      <c r="O409" s="45">
        <f t="shared" si="175"/>
        <v>0</v>
      </c>
      <c r="P409" s="45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" hidden="1">
      <c r="A410" s="155"/>
      <c r="B410" s="40"/>
      <c r="C410" s="163"/>
      <c r="D410" s="40"/>
      <c r="E410" s="41" t="s">
        <v>19</v>
      </c>
      <c r="F410" s="40"/>
      <c r="G410" s="156"/>
      <c r="H410" s="168" t="s">
        <v>12</v>
      </c>
      <c r="I410" s="165"/>
      <c r="J410" s="165"/>
      <c r="K410" s="166"/>
      <c r="L410" s="45">
        <f ca="1">IFERROR(__xludf.DUMMYFUNCTION("IMPORTRANGE(""https://docs.google.com/spreadsheets/d/1MeEWN-I1oV_STSDYn1IFDPWt_1FKiwhDph83XaGc0o0/edit?usp=sharing"",""งบพรบ!FT82"")"),0)</f>
        <v>0</v>
      </c>
      <c r="M410" s="45">
        <f ca="1">IFERROR(__xludf.DUMMYFUNCTION("IMPORTRANGE(""https://docs.google.com/spreadsheets/d/1MeEWN-I1oV_STSDYn1IFDPWt_1FKiwhDph83XaGc0o0/edit?usp=sharing"",""งบพรบ!FW82"")"),0)</f>
        <v>0</v>
      </c>
      <c r="N410" s="45">
        <f ca="1">IFERROR(__xludf.DUMMYFUNCTION("IMPORTRANGE(""https://docs.google.com/spreadsheets/d/1MeEWN-I1oV_STSDYn1IFDPWt_1FKiwhDph83XaGc0o0/edit?usp=sharing"",""งบพรบ!FY82"")"),0)</f>
        <v>0</v>
      </c>
      <c r="O410" s="45">
        <f t="shared" ca="1" si="175"/>
        <v>0</v>
      </c>
      <c r="P410" s="45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" hidden="1">
      <c r="A411" s="169"/>
      <c r="B411" s="170"/>
      <c r="C411" s="163" t="s">
        <v>16</v>
      </c>
      <c r="D411" s="808" t="s">
        <v>38</v>
      </c>
      <c r="E411" s="503"/>
      <c r="F411" s="503"/>
      <c r="G411" s="504"/>
      <c r="H411" s="174"/>
      <c r="I411" s="37"/>
      <c r="J411" s="37"/>
      <c r="K411" s="38"/>
      <c r="L411" s="162"/>
      <c r="M411" s="162"/>
      <c r="N411" s="162"/>
      <c r="O411" s="162"/>
      <c r="P411" s="162"/>
    </row>
    <row r="412" spans="1:26" ht="19" hidden="1">
      <c r="A412" s="169"/>
      <c r="B412" s="177"/>
      <c r="C412" s="177"/>
      <c r="D412" s="176" t="s">
        <v>178</v>
      </c>
      <c r="E412" s="177"/>
      <c r="F412" s="177"/>
      <c r="G412" s="178"/>
      <c r="H412" s="505" t="s">
        <v>66</v>
      </c>
      <c r="I412" s="37">
        <v>0</v>
      </c>
      <c r="J412" s="181">
        <v>0</v>
      </c>
      <c r="K412" s="38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06"/>
      <c r="B413" s="507"/>
      <c r="C413" s="507"/>
      <c r="D413" s="508" t="s">
        <v>179</v>
      </c>
      <c r="E413" s="507"/>
      <c r="F413" s="507"/>
      <c r="G413" s="509"/>
      <c r="H413" s="510" t="s">
        <v>180</v>
      </c>
      <c r="I413" s="511">
        <v>0</v>
      </c>
      <c r="J413" s="512">
        <v>0</v>
      </c>
      <c r="K413" s="513">
        <f t="shared" si="180"/>
        <v>0</v>
      </c>
      <c r="L413" s="514"/>
      <c r="M413" s="514"/>
      <c r="N413" s="514"/>
      <c r="O413" s="514"/>
      <c r="P413" s="514"/>
    </row>
    <row r="414" spans="1:26" ht="19">
      <c r="A414" s="515" t="s">
        <v>181</v>
      </c>
      <c r="B414" s="516"/>
      <c r="C414" s="516"/>
      <c r="D414" s="516"/>
      <c r="E414" s="516"/>
      <c r="F414" s="516"/>
      <c r="G414" s="517"/>
      <c r="H414" s="518"/>
      <c r="I414" s="519"/>
      <c r="J414" s="519"/>
      <c r="K414" s="520"/>
      <c r="L414" s="521">
        <f t="shared" ref="L414:N414" ca="1" si="181">L419+L444+L467+L502+L523+L544+L629+L655+L685+L737+L754+L770+L786+L805</f>
        <v>1272608</v>
      </c>
      <c r="M414" s="521">
        <f t="shared" ca="1" si="181"/>
        <v>1272608</v>
      </c>
      <c r="N414" s="521">
        <f t="shared" si="181"/>
        <v>957230.45</v>
      </c>
      <c r="O414" s="521">
        <f ca="1">IF(L414&gt;0,N414*100/L414,0)</f>
        <v>75.218012930926093</v>
      </c>
      <c r="P414" s="521">
        <f ca="1">IF(M414&gt;0,N414*100/M414,0)</f>
        <v>75.218012930926093</v>
      </c>
    </row>
    <row r="415" spans="1:26" ht="19">
      <c r="A415" s="522" t="s">
        <v>182</v>
      </c>
      <c r="B415" s="523"/>
      <c r="C415" s="523"/>
      <c r="D415" s="523"/>
      <c r="E415" s="523"/>
      <c r="F415" s="523"/>
      <c r="G415" s="523"/>
      <c r="H415" s="524"/>
      <c r="I415" s="525"/>
      <c r="J415" s="525"/>
      <c r="K415" s="526"/>
      <c r="L415" s="527"/>
      <c r="M415" s="527"/>
      <c r="N415" s="527"/>
      <c r="O415" s="527"/>
      <c r="P415" s="527"/>
    </row>
    <row r="416" spans="1:26" ht="19">
      <c r="A416" s="522" t="s">
        <v>183</v>
      </c>
      <c r="B416" s="523"/>
      <c r="C416" s="523"/>
      <c r="D416" s="523"/>
      <c r="E416" s="523"/>
      <c r="F416" s="523"/>
      <c r="G416" s="528"/>
      <c r="H416" s="529"/>
      <c r="I416" s="530"/>
      <c r="J416" s="530"/>
      <c r="K416" s="527"/>
      <c r="L416" s="527"/>
      <c r="M416" s="527"/>
      <c r="N416" s="527"/>
      <c r="O416" s="527"/>
      <c r="P416" s="527"/>
    </row>
    <row r="417" spans="1:26" ht="19">
      <c r="A417" s="531">
        <v>1</v>
      </c>
      <c r="B417" s="532" t="s">
        <v>184</v>
      </c>
      <c r="C417" s="532"/>
      <c r="D417" s="533"/>
      <c r="E417" s="533"/>
      <c r="F417" s="533"/>
      <c r="G417" s="534"/>
      <c r="H417" s="535" t="s">
        <v>35</v>
      </c>
      <c r="I417" s="536">
        <f t="shared" ref="I417:J418" ca="1" si="182">I433</f>
        <v>15</v>
      </c>
      <c r="J417" s="536">
        <f t="shared" ca="1" si="182"/>
        <v>15</v>
      </c>
      <c r="K417" s="537">
        <f t="shared" ref="K417:K418" ca="1" si="183">IF(I417&gt;0,J417*100/I417,0)</f>
        <v>100</v>
      </c>
      <c r="L417" s="538"/>
      <c r="M417" s="538"/>
      <c r="N417" s="538"/>
      <c r="O417" s="538"/>
      <c r="P417" s="538"/>
    </row>
    <row r="418" spans="1:26" ht="19">
      <c r="A418" s="539"/>
      <c r="B418" s="531"/>
      <c r="C418" s="532"/>
      <c r="D418" s="533"/>
      <c r="E418" s="533"/>
      <c r="F418" s="533"/>
      <c r="G418" s="534"/>
      <c r="H418" s="535" t="s">
        <v>49</v>
      </c>
      <c r="I418" s="536">
        <f t="shared" ca="1" si="182"/>
        <v>1</v>
      </c>
      <c r="J418" s="536">
        <f t="shared" si="182"/>
        <v>1</v>
      </c>
      <c r="K418" s="537">
        <f t="shared" ca="1" si="183"/>
        <v>100</v>
      </c>
      <c r="L418" s="538"/>
      <c r="M418" s="538"/>
      <c r="N418" s="538"/>
      <c r="O418" s="538"/>
      <c r="P418" s="538"/>
    </row>
    <row r="419" spans="1:26" ht="19">
      <c r="A419" s="146"/>
      <c r="B419" s="147"/>
      <c r="C419" s="147" t="s">
        <v>16</v>
      </c>
      <c r="D419" s="809" t="s">
        <v>17</v>
      </c>
      <c r="E419" s="781"/>
      <c r="F419" s="781"/>
      <c r="G419" s="150"/>
      <c r="H419" s="263" t="s">
        <v>12</v>
      </c>
      <c r="I419" s="152"/>
      <c r="J419" s="152"/>
      <c r="K419" s="153"/>
      <c r="L419" s="154">
        <f t="shared" ref="L419:N419" ca="1" si="184">L420+L421</f>
        <v>92760</v>
      </c>
      <c r="M419" s="154">
        <f t="shared" ca="1" si="184"/>
        <v>92760</v>
      </c>
      <c r="N419" s="154">
        <f t="shared" si="184"/>
        <v>92260</v>
      </c>
      <c r="O419" s="154">
        <f t="shared" ref="O419:O424" ca="1" si="185">IF(L419&gt;0,N419*100/L419,0)</f>
        <v>99.460974557999137</v>
      </c>
      <c r="P419" s="154">
        <f t="shared" ref="P419:P424" ca="1" si="186">IF(M419&gt;0,N419*100/M419,0)</f>
        <v>99.460974557999137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9" hidden="1">
      <c r="A420" s="155"/>
      <c r="B420" s="40"/>
      <c r="C420" s="40"/>
      <c r="D420" s="352"/>
      <c r="E420" s="41" t="s">
        <v>185</v>
      </c>
      <c r="F420" s="40"/>
      <c r="G420" s="156"/>
      <c r="H420" s="164" t="s">
        <v>12</v>
      </c>
      <c r="I420" s="44"/>
      <c r="J420" s="44"/>
      <c r="K420" s="45"/>
      <c r="L420" s="45">
        <f t="shared" ref="L420:N421" si="187">L423+L430</f>
        <v>0</v>
      </c>
      <c r="M420" s="45">
        <f t="shared" si="187"/>
        <v>0</v>
      </c>
      <c r="N420" s="45">
        <f t="shared" si="187"/>
        <v>0</v>
      </c>
      <c r="O420" s="45">
        <f t="shared" si="185"/>
        <v>0</v>
      </c>
      <c r="P420" s="45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9" hidden="1">
      <c r="A421" s="155"/>
      <c r="B421" s="40"/>
      <c r="C421" s="40"/>
      <c r="D421" s="352"/>
      <c r="E421" s="41" t="s">
        <v>186</v>
      </c>
      <c r="F421" s="40"/>
      <c r="G421" s="156"/>
      <c r="H421" s="164" t="s">
        <v>12</v>
      </c>
      <c r="I421" s="44"/>
      <c r="J421" s="44"/>
      <c r="K421" s="45"/>
      <c r="L421" s="45">
        <f t="shared" ca="1" si="187"/>
        <v>92760</v>
      </c>
      <c r="M421" s="45">
        <f t="shared" ca="1" si="187"/>
        <v>92760</v>
      </c>
      <c r="N421" s="45">
        <f t="shared" si="187"/>
        <v>92260</v>
      </c>
      <c r="O421" s="45">
        <f t="shared" ca="1" si="185"/>
        <v>99.460974557999137</v>
      </c>
      <c r="P421" s="45">
        <f t="shared" ca="1" si="186"/>
        <v>99.460974557999137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9">
      <c r="A422" s="158"/>
      <c r="B422" s="269"/>
      <c r="C422" s="33"/>
      <c r="D422" s="34" t="s">
        <v>20</v>
      </c>
      <c r="E422" s="33"/>
      <c r="F422" s="33"/>
      <c r="G422" s="35"/>
      <c r="H422" s="160" t="s">
        <v>12</v>
      </c>
      <c r="I422" s="161"/>
      <c r="J422" s="161"/>
      <c r="K422" s="162"/>
      <c r="L422" s="38">
        <f t="shared" ref="L422:N422" ca="1" si="188">L423+L424</f>
        <v>92760</v>
      </c>
      <c r="M422" s="38">
        <f t="shared" ca="1" si="188"/>
        <v>92760</v>
      </c>
      <c r="N422" s="38">
        <f t="shared" si="188"/>
        <v>92260</v>
      </c>
      <c r="O422" s="38">
        <f t="shared" ca="1" si="185"/>
        <v>99.460974557999137</v>
      </c>
      <c r="P422" s="38">
        <f t="shared" ca="1" si="186"/>
        <v>99.460974557999137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9" hidden="1">
      <c r="A423" s="155"/>
      <c r="B423" s="40"/>
      <c r="C423" s="40"/>
      <c r="D423" s="352"/>
      <c r="E423" s="41" t="s">
        <v>185</v>
      </c>
      <c r="F423" s="40"/>
      <c r="G423" s="156"/>
      <c r="H423" s="164" t="s">
        <v>12</v>
      </c>
      <c r="I423" s="44"/>
      <c r="J423" s="44"/>
      <c r="K423" s="45"/>
      <c r="L423" s="45">
        <v>0</v>
      </c>
      <c r="M423" s="45">
        <v>0</v>
      </c>
      <c r="N423" s="45">
        <v>0</v>
      </c>
      <c r="O423" s="45">
        <f t="shared" si="185"/>
        <v>0</v>
      </c>
      <c r="P423" s="45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9" hidden="1">
      <c r="A424" s="155"/>
      <c r="B424" s="40"/>
      <c r="C424" s="40"/>
      <c r="D424" s="352"/>
      <c r="E424" s="41" t="s">
        <v>186</v>
      </c>
      <c r="F424" s="40"/>
      <c r="G424" s="156"/>
      <c r="H424" s="164" t="s">
        <v>12</v>
      </c>
      <c r="I424" s="44"/>
      <c r="J424" s="44"/>
      <c r="K424" s="45"/>
      <c r="L424" s="45">
        <f ca="1">IFERROR(__xludf.DUMMYFUNCTION("IMPORTRANGE(""https://docs.google.com/spreadsheets/d/1QqKyyYR6Q21VydFLVH3TRQUabQu_ym0Zz7PgGX0-kHA/edit?usp=sharing"",""แผน!EY82"")"),92760)</f>
        <v>92760</v>
      </c>
      <c r="M424" s="45">
        <f ca="1">L424</f>
        <v>92760</v>
      </c>
      <c r="N424" s="45">
        <f>N425+N426+N427+N428</f>
        <v>92260</v>
      </c>
      <c r="O424" s="45">
        <f t="shared" ca="1" si="185"/>
        <v>99.460974557999137</v>
      </c>
      <c r="P424" s="45">
        <f t="shared" ca="1" si="186"/>
        <v>99.460974557999137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9">
      <c r="A425" s="540"/>
      <c r="B425" s="541"/>
      <c r="C425" s="542"/>
      <c r="D425" s="542"/>
      <c r="E425" s="542"/>
      <c r="F425" s="542" t="s">
        <v>187</v>
      </c>
      <c r="G425" s="186"/>
      <c r="H425" s="160" t="s">
        <v>12</v>
      </c>
      <c r="I425" s="37"/>
      <c r="J425" s="37"/>
      <c r="K425" s="38"/>
      <c r="L425" s="38"/>
      <c r="M425" s="38"/>
      <c r="N425" s="270">
        <v>36640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9">
      <c r="A426" s="540"/>
      <c r="B426" s="541"/>
      <c r="C426" s="542"/>
      <c r="D426" s="542"/>
      <c r="E426" s="542"/>
      <c r="F426" s="542" t="s">
        <v>188</v>
      </c>
      <c r="G426" s="186"/>
      <c r="H426" s="160" t="s">
        <v>12</v>
      </c>
      <c r="I426" s="37"/>
      <c r="J426" s="37"/>
      <c r="K426" s="38"/>
      <c r="L426" s="38"/>
      <c r="M426" s="38"/>
      <c r="N426" s="270"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9">
      <c r="A427" s="540"/>
      <c r="B427" s="541"/>
      <c r="C427" s="542"/>
      <c r="D427" s="542"/>
      <c r="E427" s="542"/>
      <c r="F427" s="542" t="s">
        <v>189</v>
      </c>
      <c r="G427" s="186"/>
      <c r="H427" s="160" t="s">
        <v>12</v>
      </c>
      <c r="I427" s="37"/>
      <c r="J427" s="37"/>
      <c r="K427" s="38"/>
      <c r="L427" s="38"/>
      <c r="M427" s="38"/>
      <c r="N427" s="270"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9">
      <c r="A428" s="271"/>
      <c r="B428" s="269"/>
      <c r="C428" s="33"/>
      <c r="D428" s="33"/>
      <c r="E428" s="33"/>
      <c r="F428" s="159" t="s">
        <v>190</v>
      </c>
      <c r="G428" s="206"/>
      <c r="H428" s="160" t="s">
        <v>12</v>
      </c>
      <c r="I428" s="37"/>
      <c r="J428" s="37"/>
      <c r="K428" s="38"/>
      <c r="L428" s="38"/>
      <c r="M428" s="38"/>
      <c r="N428" s="270">
        <v>55620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9">
      <c r="A429" s="158"/>
      <c r="B429" s="269"/>
      <c r="C429" s="33"/>
      <c r="D429" s="34" t="s">
        <v>21</v>
      </c>
      <c r="E429" s="33"/>
      <c r="F429" s="33"/>
      <c r="G429" s="35"/>
      <c r="H429" s="167" t="s">
        <v>12</v>
      </c>
      <c r="I429" s="161"/>
      <c r="J429" s="161"/>
      <c r="K429" s="162"/>
      <c r="L429" s="38">
        <f t="shared" ref="L429:N429" ca="1" si="189">L430+L431</f>
        <v>0</v>
      </c>
      <c r="M429" s="38">
        <f t="shared" si="189"/>
        <v>0</v>
      </c>
      <c r="N429" s="38">
        <f t="shared" si="189"/>
        <v>0</v>
      </c>
      <c r="O429" s="38">
        <f t="shared" ref="O429:O431" ca="1" si="190">IF(L429&gt;0,N429*100/L429,0)</f>
        <v>0</v>
      </c>
      <c r="P429" s="3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9" hidden="1">
      <c r="A430" s="155"/>
      <c r="B430" s="342"/>
      <c r="C430" s="40"/>
      <c r="D430" s="40"/>
      <c r="E430" s="41" t="s">
        <v>18</v>
      </c>
      <c r="F430" s="40"/>
      <c r="G430" s="42"/>
      <c r="H430" s="164" t="s">
        <v>12</v>
      </c>
      <c r="I430" s="165"/>
      <c r="J430" s="165"/>
      <c r="K430" s="166"/>
      <c r="L430" s="45">
        <v>0</v>
      </c>
      <c r="M430" s="45">
        <v>0</v>
      </c>
      <c r="N430" s="45">
        <v>0</v>
      </c>
      <c r="O430" s="45">
        <f t="shared" si="190"/>
        <v>0</v>
      </c>
      <c r="P430" s="45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9" hidden="1">
      <c r="A431" s="155"/>
      <c r="B431" s="342"/>
      <c r="C431" s="40"/>
      <c r="D431" s="40"/>
      <c r="E431" s="41" t="s">
        <v>19</v>
      </c>
      <c r="F431" s="40"/>
      <c r="G431" s="42"/>
      <c r="H431" s="168" t="s">
        <v>12</v>
      </c>
      <c r="I431" s="165"/>
      <c r="J431" s="165"/>
      <c r="K431" s="166"/>
      <c r="L431" s="45">
        <f ca="1">IFERROR(__xludf.DUMMYFUNCTION("IMPORTRANGE(""https://docs.google.com/spreadsheets/d/1QqKyyYR6Q21VydFLVH3TRQUabQu_ym0Zz7PgGX0-kHA/edit?usp=sharing"",""แผน!FB82"")"),0)</f>
        <v>0</v>
      </c>
      <c r="M431" s="45">
        <v>0</v>
      </c>
      <c r="N431" s="45">
        <v>0</v>
      </c>
      <c r="O431" s="45">
        <f t="shared" ca="1" si="190"/>
        <v>0</v>
      </c>
      <c r="P431" s="45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">
      <c r="A432" s="394"/>
      <c r="B432" s="395"/>
      <c r="C432" s="147" t="s">
        <v>16</v>
      </c>
      <c r="D432" s="810" t="s">
        <v>38</v>
      </c>
      <c r="E432" s="545"/>
      <c r="F432" s="545"/>
      <c r="G432" s="546"/>
      <c r="H432" s="547"/>
      <c r="I432" s="152"/>
      <c r="J432" s="152"/>
      <c r="K432" s="153"/>
      <c r="L432" s="153"/>
      <c r="M432" s="153"/>
      <c r="N432" s="153"/>
      <c r="O432" s="153"/>
      <c r="P432" s="15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">
      <c r="A433" s="169"/>
      <c r="B433" s="170"/>
      <c r="C433" s="170"/>
      <c r="D433" s="183" t="s">
        <v>191</v>
      </c>
      <c r="E433" s="177"/>
      <c r="F433" s="177"/>
      <c r="G433" s="178"/>
      <c r="H433" s="192" t="s">
        <v>35</v>
      </c>
      <c r="I433" s="190">
        <f ca="1">I435</f>
        <v>15</v>
      </c>
      <c r="J433" s="190">
        <f ca="1">IF(AND(J435=I435,J437=I437,J439=I439),I437+I439,IF(AND(J435=I437,J437=I437),I437,IF(AND(J435=I439,J439=I439),I439,0)))</f>
        <v>15</v>
      </c>
      <c r="K433" s="191">
        <f t="shared" ref="K433:K435" ca="1" si="192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">
      <c r="A434" s="169"/>
      <c r="B434" s="170"/>
      <c r="C434" s="170"/>
      <c r="D434" s="183" t="s">
        <v>192</v>
      </c>
      <c r="E434" s="177"/>
      <c r="F434" s="177"/>
      <c r="G434" s="178"/>
      <c r="H434" s="192" t="s">
        <v>49</v>
      </c>
      <c r="I434" s="190">
        <f t="shared" ref="I434:J434" ca="1" si="193">I438+I440</f>
        <v>1</v>
      </c>
      <c r="J434" s="190">
        <f t="shared" si="193"/>
        <v>1</v>
      </c>
      <c r="K434" s="191">
        <f t="shared" ca="1" si="192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9">
      <c r="A435" s="169"/>
      <c r="B435" s="170"/>
      <c r="C435" s="170"/>
      <c r="D435" s="176" t="s">
        <v>193</v>
      </c>
      <c r="E435" s="177"/>
      <c r="F435" s="177"/>
      <c r="G435" s="178"/>
      <c r="H435" s="36" t="s">
        <v>35</v>
      </c>
      <c r="I435" s="548">
        <f ca="1">IFERROR(__xludf.DUMMYFUNCTION("IMPORTRANGE(""https://docs.google.com/spreadsheets/d/1QqKyyYR6Q21VydFLVH3TRQUabQu_ym0Zz7PgGX0-kHA/edit?usp=sharing"",""แผน!FC82"")"),15)</f>
        <v>15</v>
      </c>
      <c r="J435" s="549">
        <v>15</v>
      </c>
      <c r="K435" s="38">
        <f t="shared" ca="1" si="192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9">
      <c r="A436" s="169"/>
      <c r="B436" s="170"/>
      <c r="C436" s="170"/>
      <c r="D436" s="176" t="s">
        <v>194</v>
      </c>
      <c r="E436" s="177"/>
      <c r="F436" s="177"/>
      <c r="G436" s="178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9">
      <c r="A437" s="169"/>
      <c r="B437" s="170"/>
      <c r="C437" s="170"/>
      <c r="D437" s="176" t="s">
        <v>195</v>
      </c>
      <c r="E437" s="177"/>
      <c r="F437" s="177"/>
      <c r="G437" s="178"/>
      <c r="H437" s="36" t="s">
        <v>35</v>
      </c>
      <c r="I437" s="548">
        <f ca="1">IFERROR(__xludf.DUMMYFUNCTION("IMPORTRANGE(""https://docs.google.com/spreadsheets/d/1QqKyyYR6Q21VydFLVH3TRQUabQu_ym0Zz7PgGX0-kHA/edit?usp=sharing"",""แผน!FD82"")"),0)</f>
        <v>0</v>
      </c>
      <c r="J437" s="549">
        <v>0</v>
      </c>
      <c r="K437" s="38">
        <f t="shared" ref="K437:K443" ca="1" si="19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9">
      <c r="A438" s="169"/>
      <c r="B438" s="170"/>
      <c r="C438" s="170"/>
      <c r="D438" s="176" t="s">
        <v>196</v>
      </c>
      <c r="E438" s="177"/>
      <c r="F438" s="177"/>
      <c r="G438" s="178"/>
      <c r="H438" s="36" t="s">
        <v>49</v>
      </c>
      <c r="I438" s="37">
        <f ca="1">IFERROR(__xludf.DUMMYFUNCTION("IMPORTRANGE(""https://docs.google.com/spreadsheets/d/1QqKyyYR6Q21VydFLVH3TRQUabQu_ym0Zz7PgGX0-kHA/edit?usp=sharing"",""แผน!FE82"")"),0)</f>
        <v>0</v>
      </c>
      <c r="J438" s="181">
        <v>0</v>
      </c>
      <c r="K438" s="38">
        <f t="shared" ca="1" si="19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9">
      <c r="A439" s="169"/>
      <c r="B439" s="170"/>
      <c r="C439" s="170"/>
      <c r="D439" s="176" t="s">
        <v>197</v>
      </c>
      <c r="E439" s="177"/>
      <c r="F439" s="177"/>
      <c r="G439" s="178"/>
      <c r="H439" s="36" t="s">
        <v>35</v>
      </c>
      <c r="I439" s="548">
        <f ca="1">IFERROR(__xludf.DUMMYFUNCTION("IMPORTRANGE(""https://docs.google.com/spreadsheets/d/1QqKyyYR6Q21VydFLVH3TRQUabQu_ym0Zz7PgGX0-kHA/edit?usp=sharing"",""แผน!FF82"")"),15)</f>
        <v>15</v>
      </c>
      <c r="J439" s="181">
        <v>15</v>
      </c>
      <c r="K439" s="38">
        <f t="shared" ca="1" si="194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9">
      <c r="A440" s="169"/>
      <c r="B440" s="170"/>
      <c r="C440" s="170"/>
      <c r="D440" s="176" t="s">
        <v>198</v>
      </c>
      <c r="E440" s="177"/>
      <c r="F440" s="177"/>
      <c r="G440" s="178"/>
      <c r="H440" s="36" t="s">
        <v>49</v>
      </c>
      <c r="I440" s="37">
        <f ca="1">IFERROR(__xludf.DUMMYFUNCTION("IMPORTRANGE(""https://docs.google.com/spreadsheets/d/1QqKyyYR6Q21VydFLVH3TRQUabQu_ym0Zz7PgGX0-kHA/edit?usp=sharing"",""แผน!FG82"")"),1)</f>
        <v>1</v>
      </c>
      <c r="J440" s="181">
        <v>1</v>
      </c>
      <c r="K440" s="38">
        <f t="shared" ca="1" si="194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9">
      <c r="A441" s="169"/>
      <c r="B441" s="170"/>
      <c r="C441" s="170"/>
      <c r="D441" s="176" t="s">
        <v>199</v>
      </c>
      <c r="E441" s="177"/>
      <c r="F441" s="177"/>
      <c r="G441" s="178"/>
      <c r="H441" s="36" t="s">
        <v>35</v>
      </c>
      <c r="I441" s="37">
        <f ca="1">IFERROR(__xludf.DUMMYFUNCTION("IMPORTRANGE(""https://docs.google.com/spreadsheets/d/1QqKyyYR6Q21VydFLVH3TRQUabQu_ym0Zz7PgGX0-kHA/edit?usp=sharing"",""แผน!FH82"")"),0)</f>
        <v>0</v>
      </c>
      <c r="J441" s="37">
        <v>0</v>
      </c>
      <c r="K441" s="38">
        <f t="shared" ca="1" si="19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">
      <c r="A442" s="550">
        <v>2</v>
      </c>
      <c r="B442" s="551" t="s">
        <v>200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195">I460</f>
        <v>40</v>
      </c>
      <c r="J442" s="555">
        <f t="shared" si="195"/>
        <v>40</v>
      </c>
      <c r="K442" s="556">
        <f t="shared" ca="1" si="194"/>
        <v>100</v>
      </c>
      <c r="L442" s="557"/>
      <c r="M442" s="557"/>
      <c r="N442" s="557"/>
      <c r="O442" s="557"/>
      <c r="P442" s="557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">
      <c r="A443" s="558"/>
      <c r="B443" s="559"/>
      <c r="C443" s="560"/>
      <c r="D443" s="560"/>
      <c r="E443" s="560"/>
      <c r="F443" s="560"/>
      <c r="G443" s="561"/>
      <c r="H443" s="535" t="s">
        <v>46</v>
      </c>
      <c r="I443" s="536">
        <f t="shared" ref="I443:J443" ca="1" si="196">I462</f>
        <v>120</v>
      </c>
      <c r="J443" s="536">
        <f t="shared" si="196"/>
        <v>120</v>
      </c>
      <c r="K443" s="537">
        <f t="shared" ca="1" si="194"/>
        <v>100</v>
      </c>
      <c r="L443" s="538"/>
      <c r="M443" s="538"/>
      <c r="N443" s="538"/>
      <c r="O443" s="538"/>
      <c r="P443" s="538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">
      <c r="A444" s="562"/>
      <c r="B444" s="542"/>
      <c r="C444" s="542" t="s">
        <v>16</v>
      </c>
      <c r="D444" s="782" t="s">
        <v>17</v>
      </c>
      <c r="E444" s="776"/>
      <c r="F444" s="776"/>
      <c r="G444" s="186"/>
      <c r="H444" s="563" t="s">
        <v>12</v>
      </c>
      <c r="I444" s="37"/>
      <c r="J444" s="37"/>
      <c r="K444" s="38"/>
      <c r="L444" s="191">
        <f t="shared" ref="L444:N444" ca="1" si="197">L445+L446</f>
        <v>367400</v>
      </c>
      <c r="M444" s="191">
        <f t="shared" ca="1" si="197"/>
        <v>367400</v>
      </c>
      <c r="N444" s="191">
        <f t="shared" si="197"/>
        <v>303765.17</v>
      </c>
      <c r="O444" s="191">
        <f t="shared" ref="O444:O449" ca="1" si="198">IF(L444&gt;0,N444*100/L444,0)</f>
        <v>82.679686989657043</v>
      </c>
      <c r="P444" s="191">
        <f t="shared" ref="P444:P449" ca="1" si="199">IF(M444&gt;0,N444*100/M444,0)</f>
        <v>82.679686989657043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9" hidden="1">
      <c r="A445" s="564"/>
      <c r="B445" s="565"/>
      <c r="C445" s="565"/>
      <c r="D445" s="566"/>
      <c r="E445" s="565" t="s">
        <v>185</v>
      </c>
      <c r="F445" s="565"/>
      <c r="G445" s="567"/>
      <c r="H445" s="164" t="s">
        <v>12</v>
      </c>
      <c r="I445" s="44"/>
      <c r="J445" s="44"/>
      <c r="K445" s="45"/>
      <c r="L445" s="45">
        <f t="shared" ref="L445:N446" si="200">L448+L455</f>
        <v>0</v>
      </c>
      <c r="M445" s="45">
        <f t="shared" si="200"/>
        <v>0</v>
      </c>
      <c r="N445" s="45">
        <f t="shared" si="200"/>
        <v>0</v>
      </c>
      <c r="O445" s="45">
        <f t="shared" si="198"/>
        <v>0</v>
      </c>
      <c r="P445" s="45">
        <f t="shared" si="199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9" hidden="1">
      <c r="A446" s="564"/>
      <c r="B446" s="569"/>
      <c r="C446" s="565"/>
      <c r="D446" s="566"/>
      <c r="E446" s="565" t="s">
        <v>186</v>
      </c>
      <c r="F446" s="565"/>
      <c r="G446" s="567"/>
      <c r="H446" s="164" t="s">
        <v>12</v>
      </c>
      <c r="I446" s="44"/>
      <c r="J446" s="44"/>
      <c r="K446" s="45"/>
      <c r="L446" s="45">
        <f t="shared" ca="1" si="200"/>
        <v>367400</v>
      </c>
      <c r="M446" s="45">
        <f t="shared" ca="1" si="200"/>
        <v>367400</v>
      </c>
      <c r="N446" s="45">
        <f t="shared" si="200"/>
        <v>303765.17</v>
      </c>
      <c r="O446" s="45">
        <f t="shared" ca="1" si="198"/>
        <v>82.679686989657043</v>
      </c>
      <c r="P446" s="45">
        <f t="shared" ca="1" si="199"/>
        <v>82.679686989657043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9">
      <c r="A447" s="562"/>
      <c r="B447" s="541"/>
      <c r="C447" s="542"/>
      <c r="D447" s="570" t="s">
        <v>20</v>
      </c>
      <c r="E447" s="542"/>
      <c r="F447" s="542"/>
      <c r="G447" s="186"/>
      <c r="H447" s="160" t="s">
        <v>12</v>
      </c>
      <c r="I447" s="161"/>
      <c r="J447" s="161"/>
      <c r="K447" s="162"/>
      <c r="L447" s="38">
        <f t="shared" ref="L447:N447" ca="1" si="201">L448+L449</f>
        <v>367400</v>
      </c>
      <c r="M447" s="38">
        <f t="shared" ca="1" si="201"/>
        <v>367400</v>
      </c>
      <c r="N447" s="38">
        <f t="shared" si="201"/>
        <v>303765.17</v>
      </c>
      <c r="O447" s="38">
        <f t="shared" ca="1" si="198"/>
        <v>82.679686989657043</v>
      </c>
      <c r="P447" s="38">
        <f t="shared" ca="1" si="199"/>
        <v>82.679686989657043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9" hidden="1">
      <c r="A448" s="564"/>
      <c r="B448" s="569"/>
      <c r="C448" s="565"/>
      <c r="D448" s="566"/>
      <c r="E448" s="565" t="s">
        <v>185</v>
      </c>
      <c r="F448" s="565"/>
      <c r="G448" s="567"/>
      <c r="H448" s="164" t="s">
        <v>12</v>
      </c>
      <c r="I448" s="44"/>
      <c r="J448" s="44"/>
      <c r="K448" s="45"/>
      <c r="L448" s="45">
        <v>0</v>
      </c>
      <c r="M448" s="45">
        <v>0</v>
      </c>
      <c r="N448" s="45">
        <v>0</v>
      </c>
      <c r="O448" s="45">
        <f t="shared" si="198"/>
        <v>0</v>
      </c>
      <c r="P448" s="45">
        <f t="shared" si="199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9" hidden="1">
      <c r="A449" s="564"/>
      <c r="B449" s="569"/>
      <c r="C449" s="565"/>
      <c r="D449" s="566"/>
      <c r="E449" s="565" t="s">
        <v>186</v>
      </c>
      <c r="F449" s="565"/>
      <c r="G449" s="567"/>
      <c r="H449" s="164" t="s">
        <v>12</v>
      </c>
      <c r="I449" s="44"/>
      <c r="J449" s="44"/>
      <c r="K449" s="45"/>
      <c r="L449" s="45">
        <f ca="1">IFERROR(__xludf.DUMMYFUNCTION("IMPORTRANGE(""https://docs.google.com/spreadsheets/d/1QqKyyYR6Q21VydFLVH3TRQUabQu_ym0Zz7PgGX0-kHA/edit?usp=sharing"",""แผน!FJ82"")"),367400)</f>
        <v>367400</v>
      </c>
      <c r="M449" s="45">
        <f ca="1">L449</f>
        <v>367400</v>
      </c>
      <c r="N449" s="45">
        <f>N450+N451+N452+N453</f>
        <v>303765.17</v>
      </c>
      <c r="O449" s="45">
        <f t="shared" ca="1" si="198"/>
        <v>82.679686989657043</v>
      </c>
      <c r="P449" s="45">
        <f t="shared" ca="1" si="199"/>
        <v>82.679686989657043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9">
      <c r="A450" s="540"/>
      <c r="B450" s="541"/>
      <c r="C450" s="542"/>
      <c r="D450" s="542"/>
      <c r="E450" s="542"/>
      <c r="F450" s="542" t="s">
        <v>187</v>
      </c>
      <c r="G450" s="186"/>
      <c r="H450" s="160" t="s">
        <v>12</v>
      </c>
      <c r="I450" s="37"/>
      <c r="J450" s="37"/>
      <c r="K450" s="38"/>
      <c r="L450" s="38"/>
      <c r="M450" s="38"/>
      <c r="N450" s="270">
        <v>54400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9">
      <c r="A451" s="540"/>
      <c r="B451" s="541"/>
      <c r="C451" s="542"/>
      <c r="D451" s="542"/>
      <c r="E451" s="542"/>
      <c r="F451" s="542" t="s">
        <v>188</v>
      </c>
      <c r="G451" s="186"/>
      <c r="H451" s="160" t="s">
        <v>12</v>
      </c>
      <c r="I451" s="37"/>
      <c r="J451" s="37"/>
      <c r="K451" s="38"/>
      <c r="L451" s="38"/>
      <c r="M451" s="38"/>
      <c r="N451" s="270">
        <v>122985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9">
      <c r="A452" s="540"/>
      <c r="B452" s="541"/>
      <c r="C452" s="541"/>
      <c r="D452" s="541"/>
      <c r="E452" s="541"/>
      <c r="F452" s="542" t="s">
        <v>189</v>
      </c>
      <c r="G452" s="186"/>
      <c r="H452" s="160" t="s">
        <v>12</v>
      </c>
      <c r="I452" s="37"/>
      <c r="J452" s="37"/>
      <c r="K452" s="38"/>
      <c r="L452" s="38"/>
      <c r="M452" s="38"/>
      <c r="N452" s="270">
        <v>101050.17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9">
      <c r="A453" s="540"/>
      <c r="B453" s="541"/>
      <c r="C453" s="541"/>
      <c r="D453" s="541"/>
      <c r="E453" s="541"/>
      <c r="F453" s="542" t="s">
        <v>190</v>
      </c>
      <c r="G453" s="186"/>
      <c r="H453" s="160" t="s">
        <v>12</v>
      </c>
      <c r="I453" s="37"/>
      <c r="J453" s="37"/>
      <c r="K453" s="38"/>
      <c r="L453" s="38"/>
      <c r="M453" s="38"/>
      <c r="N453" s="270">
        <v>25330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9">
      <c r="A454" s="562"/>
      <c r="B454" s="541"/>
      <c r="C454" s="541"/>
      <c r="D454" s="570" t="s">
        <v>21</v>
      </c>
      <c r="E454" s="541"/>
      <c r="F454" s="542"/>
      <c r="G454" s="186"/>
      <c r="H454" s="167" t="s">
        <v>12</v>
      </c>
      <c r="I454" s="161"/>
      <c r="J454" s="161"/>
      <c r="K454" s="162"/>
      <c r="L454" s="38">
        <f t="shared" ref="L454:N454" ca="1" si="202">L455+L456</f>
        <v>0</v>
      </c>
      <c r="M454" s="38">
        <f t="shared" si="202"/>
        <v>0</v>
      </c>
      <c r="N454" s="38">
        <f t="shared" si="202"/>
        <v>0</v>
      </c>
      <c r="O454" s="38">
        <f t="shared" ref="O454:O456" ca="1" si="203">IF(L454&gt;0,N454*100/L454,0)</f>
        <v>0</v>
      </c>
      <c r="P454" s="38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9" hidden="1">
      <c r="A455" s="564"/>
      <c r="B455" s="569"/>
      <c r="C455" s="569"/>
      <c r="D455" s="569"/>
      <c r="E455" s="569" t="s">
        <v>18</v>
      </c>
      <c r="F455" s="565"/>
      <c r="G455" s="567"/>
      <c r="H455" s="164" t="s">
        <v>12</v>
      </c>
      <c r="I455" s="165"/>
      <c r="J455" s="165"/>
      <c r="K455" s="166"/>
      <c r="L455" s="45">
        <v>0</v>
      </c>
      <c r="M455" s="45">
        <v>0</v>
      </c>
      <c r="N455" s="45">
        <v>0</v>
      </c>
      <c r="O455" s="45">
        <f t="shared" si="203"/>
        <v>0</v>
      </c>
      <c r="P455" s="45">
        <f t="shared" si="204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9" hidden="1">
      <c r="A456" s="564"/>
      <c r="B456" s="569"/>
      <c r="C456" s="569"/>
      <c r="D456" s="569"/>
      <c r="E456" s="569" t="s">
        <v>19</v>
      </c>
      <c r="F456" s="565"/>
      <c r="G456" s="567"/>
      <c r="H456" s="168" t="s">
        <v>12</v>
      </c>
      <c r="I456" s="165"/>
      <c r="J456" s="165"/>
      <c r="K456" s="166"/>
      <c r="L456" s="45">
        <f ca="1">IFERROR(__xludf.DUMMYFUNCTION("IMPORTRANGE(""https://docs.google.com/spreadsheets/d/1QqKyyYR6Q21VydFLVH3TRQUabQu_ym0Zz7PgGX0-kHA/edit?usp=sharing"",""แผน!FM82"")"),0)</f>
        <v>0</v>
      </c>
      <c r="M456" s="45">
        <v>0</v>
      </c>
      <c r="N456" s="45">
        <v>0</v>
      </c>
      <c r="O456" s="45">
        <f t="shared" ca="1" si="203"/>
        <v>0</v>
      </c>
      <c r="P456" s="45">
        <f t="shared" si="204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">
      <c r="A457" s="571"/>
      <c r="B457" s="572"/>
      <c r="C457" s="541" t="s">
        <v>16</v>
      </c>
      <c r="D457" s="811" t="s">
        <v>38</v>
      </c>
      <c r="E457" s="574"/>
      <c r="F457" s="575"/>
      <c r="G457" s="576"/>
      <c r="H457" s="174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9" hidden="1">
      <c r="A458" s="577"/>
      <c r="B458" s="578"/>
      <c r="C458" s="578"/>
      <c r="D458" s="578" t="s">
        <v>201</v>
      </c>
      <c r="E458" s="578"/>
      <c r="F458" s="566"/>
      <c r="G458" s="351"/>
      <c r="H458" s="354" t="s">
        <v>35</v>
      </c>
      <c r="I458" s="44">
        <v>0</v>
      </c>
      <c r="J458" s="4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9" hidden="1">
      <c r="A459" s="577"/>
      <c r="B459" s="578"/>
      <c r="C459" s="578"/>
      <c r="D459" s="578" t="s">
        <v>202</v>
      </c>
      <c r="E459" s="578"/>
      <c r="F459" s="566"/>
      <c r="G459" s="351"/>
      <c r="H459" s="354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9">
      <c r="A460" s="571"/>
      <c r="B460" s="572"/>
      <c r="C460" s="572"/>
      <c r="D460" s="572" t="s">
        <v>203</v>
      </c>
      <c r="E460" s="572"/>
      <c r="F460" s="184"/>
      <c r="G460" s="174"/>
      <c r="H460" s="180" t="s">
        <v>35</v>
      </c>
      <c r="I460" s="37">
        <f ca="1">IFERROR(__xludf.DUMMYFUNCTION("IMPORTRANGE(""https://docs.google.com/spreadsheets/d/1QqKyyYR6Q21VydFLVH3TRQUabQu_ym0Zz7PgGX0-kHA/edit?usp=sharing"",""แผน!FN82"")"),40)</f>
        <v>40</v>
      </c>
      <c r="J460" s="181">
        <v>40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9">
      <c r="A461" s="571"/>
      <c r="B461" s="572"/>
      <c r="C461" s="572"/>
      <c r="D461" s="572" t="s">
        <v>204</v>
      </c>
      <c r="E461" s="184"/>
      <c r="F461" s="184"/>
      <c r="G461" s="174"/>
      <c r="H461" s="180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9">
      <c r="A462" s="571"/>
      <c r="B462" s="572"/>
      <c r="C462" s="572"/>
      <c r="D462" s="572" t="s">
        <v>205</v>
      </c>
      <c r="E462" s="184"/>
      <c r="F462" s="184"/>
      <c r="G462" s="174"/>
      <c r="H462" s="180" t="s">
        <v>46</v>
      </c>
      <c r="I462" s="37">
        <f ca="1">IFERROR(__xludf.DUMMYFUNCTION("IMPORTRANGE(""https://docs.google.com/spreadsheets/d/1QqKyyYR6Q21VydFLVH3TRQUabQu_ym0Zz7PgGX0-kHA/edit?usp=sharing"",""แผน!FO82"")"),120)</f>
        <v>120</v>
      </c>
      <c r="J462" s="181">
        <v>120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9">
      <c r="A463" s="571"/>
      <c r="B463" s="572"/>
      <c r="C463" s="572"/>
      <c r="D463" s="572" t="s">
        <v>59</v>
      </c>
      <c r="E463" s="184"/>
      <c r="F463" s="542"/>
      <c r="G463" s="186"/>
      <c r="H463" s="180" t="s">
        <v>46</v>
      </c>
      <c r="I463" s="37">
        <f ca="1">IFERROR(__xludf.DUMMYFUNCTION("IMPORTRANGE(""https://docs.google.com/spreadsheets/d/1QqKyyYR6Q21VydFLVH3TRQUabQu_ym0Zz7PgGX0-kHA/edit?usp=sharing"",""แผน!FO82"")"),120)</f>
        <v>120</v>
      </c>
      <c r="J463" s="181">
        <v>120</v>
      </c>
      <c r="K463" s="38"/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">
      <c r="A464" s="571"/>
      <c r="B464" s="572"/>
      <c r="C464" s="572"/>
      <c r="D464" s="572"/>
      <c r="E464" s="184"/>
      <c r="F464" s="184"/>
      <c r="G464" s="579"/>
      <c r="H464" s="180" t="s">
        <v>35</v>
      </c>
      <c r="I464" s="37">
        <f ca="1">IFERROR(__xludf.DUMMYFUNCTION("IMPORTRANGE(""https://docs.google.com/spreadsheets/d/1QqKyyYR6Q21VydFLVH3TRQUabQu_ym0Zz7PgGX0-kHA/edit?usp=sharing"",""แผน!FN82"")"),40)</f>
        <v>40</v>
      </c>
      <c r="J464" s="181">
        <v>40</v>
      </c>
      <c r="K464" s="38"/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">
      <c r="A465" s="550">
        <v>3</v>
      </c>
      <c r="B465" s="551" t="s">
        <v>206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IFERROR(__xludf.DUMMYFUNCTION("IMPORTRANGE(""https://docs.google.com/spreadsheets/d/1QqKyyYR6Q21VydFLVH3TRQUabQu_ym0Zz7PgGX0-kHA/edit?usp=sharing"",""แผน!FX82"")"),31)</f>
        <v>31</v>
      </c>
      <c r="J465" s="555">
        <f>J485+J489+J492</f>
        <v>31</v>
      </c>
      <c r="K465" s="556">
        <f t="shared" ref="K465:K466" ca="1" si="205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">
      <c r="A466" s="558"/>
      <c r="B466" s="559"/>
      <c r="C466" s="560"/>
      <c r="D466" s="560"/>
      <c r="E466" s="560"/>
      <c r="F466" s="560"/>
      <c r="G466" s="561"/>
      <c r="H466" s="535" t="s">
        <v>46</v>
      </c>
      <c r="I466" s="536">
        <f ca="1">IFERROR(__xludf.DUMMYFUNCTION("IMPORTRANGE(""https://docs.google.com/spreadsheets/d/1QqKyyYR6Q21VydFLVH3TRQUabQu_ym0Zz7PgGX0-kHA/edit?usp=sharing"",""แผน!FW82"")"),300)</f>
        <v>300</v>
      </c>
      <c r="J466" s="536">
        <f>J495+J498</f>
        <v>300</v>
      </c>
      <c r="K466" s="537">
        <f t="shared" ca="1" si="205"/>
        <v>100</v>
      </c>
      <c r="L466" s="538"/>
      <c r="M466" s="538"/>
      <c r="N466" s="538"/>
      <c r="O466" s="538"/>
      <c r="P466" s="538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">
      <c r="A467" s="562"/>
      <c r="B467" s="542"/>
      <c r="C467" s="542" t="s">
        <v>16</v>
      </c>
      <c r="D467" s="782" t="s">
        <v>17</v>
      </c>
      <c r="E467" s="776"/>
      <c r="F467" s="776"/>
      <c r="G467" s="186"/>
      <c r="H467" s="563" t="s">
        <v>12</v>
      </c>
      <c r="I467" s="37"/>
      <c r="J467" s="37"/>
      <c r="K467" s="38"/>
      <c r="L467" s="191">
        <f t="shared" ref="L467:N467" ca="1" si="206">L468+L469</f>
        <v>263773</v>
      </c>
      <c r="M467" s="191">
        <f t="shared" ca="1" si="206"/>
        <v>263773</v>
      </c>
      <c r="N467" s="191">
        <f t="shared" si="206"/>
        <v>262206</v>
      </c>
      <c r="O467" s="191">
        <f t="shared" ref="O467:O472" ca="1" si="207">IF(L467&gt;0,N467*100/L467,0)</f>
        <v>99.405928582531189</v>
      </c>
      <c r="P467" s="191">
        <f t="shared" ref="P467:P472" ca="1" si="208">IF(M467&gt;0,N467*100/M467,0)</f>
        <v>99.405928582531189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9" hidden="1">
      <c r="A468" s="564"/>
      <c r="B468" s="565"/>
      <c r="C468" s="565"/>
      <c r="D468" s="566"/>
      <c r="E468" s="565" t="s">
        <v>185</v>
      </c>
      <c r="F468" s="565"/>
      <c r="G468" s="567"/>
      <c r="H468" s="164" t="s">
        <v>12</v>
      </c>
      <c r="I468" s="44"/>
      <c r="J468" s="44"/>
      <c r="K468" s="45"/>
      <c r="L468" s="45">
        <f t="shared" ref="L468:N469" si="209">L471+L478</f>
        <v>0</v>
      </c>
      <c r="M468" s="45">
        <f t="shared" si="209"/>
        <v>0</v>
      </c>
      <c r="N468" s="45">
        <f t="shared" si="209"/>
        <v>0</v>
      </c>
      <c r="O468" s="45">
        <f t="shared" si="207"/>
        <v>0</v>
      </c>
      <c r="P468" s="45">
        <f t="shared" si="208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9" hidden="1">
      <c r="A469" s="564"/>
      <c r="B469" s="569"/>
      <c r="C469" s="565"/>
      <c r="D469" s="566"/>
      <c r="E469" s="565" t="s">
        <v>186</v>
      </c>
      <c r="F469" s="565"/>
      <c r="G469" s="567"/>
      <c r="H469" s="164" t="s">
        <v>12</v>
      </c>
      <c r="I469" s="44"/>
      <c r="J469" s="44"/>
      <c r="K469" s="45"/>
      <c r="L469" s="45">
        <f t="shared" ca="1" si="209"/>
        <v>263773</v>
      </c>
      <c r="M469" s="45">
        <f t="shared" ca="1" si="209"/>
        <v>263773</v>
      </c>
      <c r="N469" s="45">
        <f t="shared" si="209"/>
        <v>262206</v>
      </c>
      <c r="O469" s="45">
        <f t="shared" ca="1" si="207"/>
        <v>99.405928582531189</v>
      </c>
      <c r="P469" s="45">
        <f t="shared" ca="1" si="208"/>
        <v>99.405928582531189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9">
      <c r="A470" s="562"/>
      <c r="B470" s="541"/>
      <c r="C470" s="542"/>
      <c r="D470" s="570" t="s">
        <v>20</v>
      </c>
      <c r="E470" s="542"/>
      <c r="F470" s="542"/>
      <c r="G470" s="186"/>
      <c r="H470" s="160" t="s">
        <v>12</v>
      </c>
      <c r="I470" s="161"/>
      <c r="J470" s="161"/>
      <c r="K470" s="162"/>
      <c r="L470" s="38">
        <f t="shared" ref="L470:N470" ca="1" si="210">L471+L472</f>
        <v>263773</v>
      </c>
      <c r="M470" s="38">
        <f t="shared" ca="1" si="210"/>
        <v>263773</v>
      </c>
      <c r="N470" s="38">
        <f t="shared" si="210"/>
        <v>262206</v>
      </c>
      <c r="O470" s="38">
        <f t="shared" ca="1" si="207"/>
        <v>99.405928582531189</v>
      </c>
      <c r="P470" s="38">
        <f t="shared" ca="1" si="208"/>
        <v>99.405928582531189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9" hidden="1">
      <c r="A471" s="564"/>
      <c r="B471" s="569"/>
      <c r="C471" s="565"/>
      <c r="D471" s="566"/>
      <c r="E471" s="565" t="s">
        <v>185</v>
      </c>
      <c r="F471" s="565"/>
      <c r="G471" s="567"/>
      <c r="H471" s="164" t="s">
        <v>12</v>
      </c>
      <c r="I471" s="44"/>
      <c r="J471" s="44"/>
      <c r="K471" s="45"/>
      <c r="L471" s="45">
        <v>0</v>
      </c>
      <c r="M471" s="45">
        <v>0</v>
      </c>
      <c r="N471" s="45">
        <v>0</v>
      </c>
      <c r="O471" s="45">
        <f t="shared" si="207"/>
        <v>0</v>
      </c>
      <c r="P471" s="45">
        <f t="shared" si="208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9" hidden="1">
      <c r="A472" s="564"/>
      <c r="B472" s="569"/>
      <c r="C472" s="565"/>
      <c r="D472" s="566"/>
      <c r="E472" s="565" t="s">
        <v>186</v>
      </c>
      <c r="F472" s="565"/>
      <c r="G472" s="567"/>
      <c r="H472" s="164" t="s">
        <v>12</v>
      </c>
      <c r="I472" s="44"/>
      <c r="J472" s="44"/>
      <c r="K472" s="45"/>
      <c r="L472" s="45">
        <f ca="1">IFERROR(__xludf.DUMMYFUNCTION("IMPORTRANGE(""https://docs.google.com/spreadsheets/d/1QqKyyYR6Q21VydFLVH3TRQUabQu_ym0Zz7PgGX0-kHA/edit?usp=sharing"",""แผน!FS82"")"),263773)</f>
        <v>263773</v>
      </c>
      <c r="M472" s="45">
        <f ca="1">L472</f>
        <v>263773</v>
      </c>
      <c r="N472" s="45">
        <f>N473+N474+N475+N476</f>
        <v>262206</v>
      </c>
      <c r="O472" s="45">
        <f t="shared" ca="1" si="207"/>
        <v>99.405928582531189</v>
      </c>
      <c r="P472" s="45">
        <f t="shared" ca="1" si="208"/>
        <v>99.405928582531189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9">
      <c r="A473" s="540"/>
      <c r="B473" s="541"/>
      <c r="C473" s="542"/>
      <c r="D473" s="542"/>
      <c r="E473" s="542"/>
      <c r="F473" s="542" t="s">
        <v>187</v>
      </c>
      <c r="G473" s="186"/>
      <c r="H473" s="160" t="s">
        <v>12</v>
      </c>
      <c r="I473" s="37"/>
      <c r="J473" s="37"/>
      <c r="K473" s="38"/>
      <c r="L473" s="38"/>
      <c r="M473" s="38"/>
      <c r="N473" s="270">
        <v>47696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9">
      <c r="A474" s="540"/>
      <c r="B474" s="541"/>
      <c r="C474" s="542"/>
      <c r="D474" s="542"/>
      <c r="E474" s="542"/>
      <c r="F474" s="542" t="s">
        <v>188</v>
      </c>
      <c r="G474" s="186"/>
      <c r="H474" s="160" t="s">
        <v>12</v>
      </c>
      <c r="I474" s="37"/>
      <c r="J474" s="37"/>
      <c r="K474" s="38"/>
      <c r="L474" s="38"/>
      <c r="M474" s="38"/>
      <c r="N474" s="270">
        <v>190000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9">
      <c r="A475" s="540"/>
      <c r="B475" s="541"/>
      <c r="C475" s="541"/>
      <c r="D475" s="541"/>
      <c r="E475" s="541"/>
      <c r="F475" s="542" t="s">
        <v>189</v>
      </c>
      <c r="G475" s="186"/>
      <c r="H475" s="160" t="s">
        <v>12</v>
      </c>
      <c r="I475" s="37"/>
      <c r="J475" s="37"/>
      <c r="K475" s="38"/>
      <c r="L475" s="38"/>
      <c r="M475" s="38"/>
      <c r="N475" s="270">
        <v>0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9">
      <c r="A476" s="540"/>
      <c r="B476" s="541"/>
      <c r="C476" s="541"/>
      <c r="D476" s="541"/>
      <c r="E476" s="541"/>
      <c r="F476" s="542" t="s">
        <v>190</v>
      </c>
      <c r="G476" s="186"/>
      <c r="H476" s="160" t="s">
        <v>12</v>
      </c>
      <c r="I476" s="37"/>
      <c r="J476" s="37"/>
      <c r="K476" s="38"/>
      <c r="L476" s="38"/>
      <c r="M476" s="38"/>
      <c r="N476" s="270">
        <v>24510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9">
      <c r="A477" s="562"/>
      <c r="B477" s="541"/>
      <c r="C477" s="541"/>
      <c r="D477" s="570" t="s">
        <v>21</v>
      </c>
      <c r="E477" s="541"/>
      <c r="F477" s="541"/>
      <c r="G477" s="186"/>
      <c r="H477" s="167" t="s">
        <v>12</v>
      </c>
      <c r="I477" s="161"/>
      <c r="J477" s="161"/>
      <c r="K477" s="162"/>
      <c r="L477" s="38">
        <f t="shared" ref="L477:N477" ca="1" si="211">L478+L479</f>
        <v>0</v>
      </c>
      <c r="M477" s="38">
        <f t="shared" si="211"/>
        <v>0</v>
      </c>
      <c r="N477" s="38">
        <f t="shared" si="211"/>
        <v>0</v>
      </c>
      <c r="O477" s="38">
        <f t="shared" ref="O477:O479" ca="1" si="212">IF(L477&gt;0,N477*100/L477,0)</f>
        <v>0</v>
      </c>
      <c r="P477" s="38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9" hidden="1">
      <c r="A478" s="564"/>
      <c r="B478" s="569"/>
      <c r="C478" s="569"/>
      <c r="D478" s="569"/>
      <c r="E478" s="569" t="s">
        <v>18</v>
      </c>
      <c r="F478" s="569"/>
      <c r="G478" s="567"/>
      <c r="H478" s="164" t="s">
        <v>12</v>
      </c>
      <c r="I478" s="165"/>
      <c r="J478" s="165"/>
      <c r="K478" s="166"/>
      <c r="L478" s="45">
        <v>0</v>
      </c>
      <c r="M478" s="45">
        <v>0</v>
      </c>
      <c r="N478" s="45">
        <v>0</v>
      </c>
      <c r="O478" s="45">
        <f t="shared" si="212"/>
        <v>0</v>
      </c>
      <c r="P478" s="45">
        <f t="shared" si="213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9" hidden="1">
      <c r="A479" s="564"/>
      <c r="B479" s="569"/>
      <c r="C479" s="569"/>
      <c r="D479" s="569"/>
      <c r="E479" s="569" t="s">
        <v>19</v>
      </c>
      <c r="F479" s="569"/>
      <c r="G479" s="567"/>
      <c r="H479" s="168" t="s">
        <v>12</v>
      </c>
      <c r="I479" s="165"/>
      <c r="J479" s="165"/>
      <c r="K479" s="166"/>
      <c r="L479" s="45">
        <f ca="1">IFERROR(__xludf.DUMMYFUNCTION("IMPORTRANGE(""https://docs.google.com/spreadsheets/d/1QqKyyYR6Q21VydFLVH3TRQUabQu_ym0Zz7PgGX0-kHA/edit?usp=sharing"",""แผน!FV82"")"),0)</f>
        <v>0</v>
      </c>
      <c r="M479" s="45">
        <v>0</v>
      </c>
      <c r="N479" s="45">
        <v>0</v>
      </c>
      <c r="O479" s="45">
        <f t="shared" ca="1" si="212"/>
        <v>0</v>
      </c>
      <c r="P479" s="45">
        <f t="shared" si="213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">
      <c r="A480" s="571"/>
      <c r="B480" s="572"/>
      <c r="C480" s="541" t="s">
        <v>16</v>
      </c>
      <c r="D480" s="812" t="s">
        <v>38</v>
      </c>
      <c r="E480" s="574"/>
      <c r="F480" s="575"/>
      <c r="G480" s="576"/>
      <c r="H480" s="174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">
      <c r="A481" s="571"/>
      <c r="B481" s="572"/>
      <c r="C481" s="572"/>
      <c r="D481" s="581" t="s">
        <v>207</v>
      </c>
      <c r="E481" s="572"/>
      <c r="F481" s="572"/>
      <c r="G481" s="174"/>
      <c r="H481" s="186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9">
      <c r="A482" s="571"/>
      <c r="B482" s="572"/>
      <c r="C482" s="572"/>
      <c r="D482" s="572"/>
      <c r="E482" s="572" t="s">
        <v>208</v>
      </c>
      <c r="F482" s="572"/>
      <c r="G482" s="174"/>
      <c r="H482" s="186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9">
      <c r="A483" s="571"/>
      <c r="B483" s="572"/>
      <c r="C483" s="572"/>
      <c r="D483" s="572"/>
      <c r="E483" s="572"/>
      <c r="F483" s="572" t="s">
        <v>209</v>
      </c>
      <c r="G483" s="174"/>
      <c r="H483" s="36" t="s">
        <v>46</v>
      </c>
      <c r="I483" s="37">
        <f ca="1">IFERROR(__xludf.DUMMYFUNCTION("IMPORTRANGE(""https://docs.google.com/spreadsheets/d/1QqKyyYR6Q21VydFLVH3TRQUabQu_ym0Zz7PgGX0-kHA/edit?usp=sharing"",""แผน!FY82"")"),270)</f>
        <v>270</v>
      </c>
      <c r="J483" s="181">
        <v>270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9">
      <c r="A484" s="571"/>
      <c r="B484" s="572"/>
      <c r="C484" s="572"/>
      <c r="D484" s="572"/>
      <c r="E484" s="572"/>
      <c r="F484" s="572" t="s">
        <v>210</v>
      </c>
      <c r="G484" s="174"/>
      <c r="H484" s="36" t="s">
        <v>35</v>
      </c>
      <c r="I484" s="37"/>
      <c r="J484" s="181">
        <v>0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9">
      <c r="A485" s="571"/>
      <c r="B485" s="572"/>
      <c r="C485" s="572"/>
      <c r="D485" s="572"/>
      <c r="E485" s="572"/>
      <c r="F485" s="572" t="s">
        <v>211</v>
      </c>
      <c r="G485" s="174"/>
      <c r="H485" s="36" t="s">
        <v>35</v>
      </c>
      <c r="I485" s="37">
        <f ca="1">IFERROR(__xludf.DUMMYFUNCTION("IMPORTRANGE(""https://docs.google.com/spreadsheets/d/1QqKyyYR6Q21VydFLVH3TRQUabQu_ym0Zz7PgGX0-kHA/edit?usp=sharing"",""แผน!FZ82"")"),27)</f>
        <v>27</v>
      </c>
      <c r="J485" s="181">
        <v>27</v>
      </c>
      <c r="K485" s="38">
        <f ca="1">IF(I485&gt;0,J485*100/I485,0)</f>
        <v>100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9">
      <c r="A486" s="571"/>
      <c r="B486" s="572"/>
      <c r="C486" s="572"/>
      <c r="D486" s="572"/>
      <c r="E486" s="572" t="s">
        <v>62</v>
      </c>
      <c r="F486" s="572"/>
      <c r="G486" s="174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9">
      <c r="A487" s="571"/>
      <c r="B487" s="572"/>
      <c r="C487" s="572"/>
      <c r="D487" s="572"/>
      <c r="E487" s="572"/>
      <c r="F487" s="572" t="s">
        <v>209</v>
      </c>
      <c r="G487" s="174"/>
      <c r="H487" s="36" t="s">
        <v>46</v>
      </c>
      <c r="I487" s="37">
        <f ca="1">IFERROR(__xludf.DUMMYFUNCTION("IMPORTRANGE(""https://docs.google.com/spreadsheets/d/1QqKyyYR6Q21VydFLVH3TRQUabQu_ym0Zz7PgGX0-kHA/edit?usp=sharing"",""แผน!GA82"")"),30)</f>
        <v>30</v>
      </c>
      <c r="J487" s="181">
        <v>30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9">
      <c r="A488" s="571"/>
      <c r="B488" s="572"/>
      <c r="C488" s="572"/>
      <c r="D488" s="572"/>
      <c r="E488" s="572"/>
      <c r="F488" s="572" t="s">
        <v>212</v>
      </c>
      <c r="G488" s="174"/>
      <c r="H488" s="36" t="s">
        <v>35</v>
      </c>
      <c r="I488" s="37"/>
      <c r="J488" s="181">
        <v>4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9">
      <c r="A489" s="571"/>
      <c r="B489" s="572"/>
      <c r="C489" s="572"/>
      <c r="D489" s="572"/>
      <c r="E489" s="572"/>
      <c r="F489" s="572" t="s">
        <v>213</v>
      </c>
      <c r="G489" s="174"/>
      <c r="H489" s="36" t="s">
        <v>35</v>
      </c>
      <c r="I489" s="37">
        <f ca="1">IFERROR(__xludf.DUMMYFUNCTION("IMPORTRANGE(""https://docs.google.com/spreadsheets/d/1QqKyyYR6Q21VydFLVH3TRQUabQu_ym0Zz7PgGX0-kHA/edit?usp=sharing"",""แผน!GB82"")"),3)</f>
        <v>3</v>
      </c>
      <c r="J489" s="181">
        <v>3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9">
      <c r="A490" s="571"/>
      <c r="B490" s="572"/>
      <c r="C490" s="572"/>
      <c r="D490" s="572"/>
      <c r="E490" s="572" t="s">
        <v>63</v>
      </c>
      <c r="F490" s="184"/>
      <c r="G490" s="174"/>
      <c r="H490" s="36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9">
      <c r="A491" s="571"/>
      <c r="B491" s="572"/>
      <c r="C491" s="572"/>
      <c r="D491" s="572"/>
      <c r="E491" s="572"/>
      <c r="F491" s="572" t="s">
        <v>214</v>
      </c>
      <c r="G491" s="174"/>
      <c r="H491" s="36" t="s">
        <v>35</v>
      </c>
      <c r="I491" s="37"/>
      <c r="J491" s="181">
        <v>0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9">
      <c r="A492" s="571"/>
      <c r="B492" s="572"/>
      <c r="C492" s="572"/>
      <c r="D492" s="572"/>
      <c r="E492" s="572"/>
      <c r="F492" s="572" t="s">
        <v>215</v>
      </c>
      <c r="G492" s="174"/>
      <c r="H492" s="36" t="s">
        <v>35</v>
      </c>
      <c r="I492" s="37">
        <f ca="1">IFERROR(__xludf.DUMMYFUNCTION("IMPORTRANGE(""https://docs.google.com/spreadsheets/d/1QqKyyYR6Q21VydFLVH3TRQUabQu_ym0Zz7PgGX0-kHA/edit?usp=sharing"",""แผน!GC82"")"),1)</f>
        <v>1</v>
      </c>
      <c r="J492" s="181">
        <v>1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">
      <c r="A493" s="571"/>
      <c r="B493" s="572"/>
      <c r="C493" s="572"/>
      <c r="D493" s="581" t="s">
        <v>59</v>
      </c>
      <c r="E493" s="572"/>
      <c r="F493" s="184"/>
      <c r="G493" s="174"/>
      <c r="H493" s="186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9">
      <c r="A494" s="571"/>
      <c r="B494" s="572"/>
      <c r="C494" s="572"/>
      <c r="D494" s="572"/>
      <c r="E494" s="572" t="s">
        <v>208</v>
      </c>
      <c r="F494" s="184"/>
      <c r="G494" s="174"/>
      <c r="H494" s="186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9">
      <c r="A495" s="571"/>
      <c r="B495" s="572"/>
      <c r="C495" s="572"/>
      <c r="D495" s="572"/>
      <c r="E495" s="572"/>
      <c r="F495" s="184" t="s">
        <v>216</v>
      </c>
      <c r="G495" s="174"/>
      <c r="H495" s="36" t="s">
        <v>46</v>
      </c>
      <c r="I495" s="37">
        <f ca="1">IFERROR(__xludf.DUMMYFUNCTION("IMPORTRANGE(""https://docs.google.com/spreadsheets/d/1QqKyyYR6Q21VydFLVH3TRQUabQu_ym0Zz7PgGX0-kHA/edit?usp=sharing"",""แผน!FY82"")"),270)</f>
        <v>270</v>
      </c>
      <c r="J495" s="181">
        <v>270</v>
      </c>
      <c r="K495" s="38">
        <f ca="1">IF(I495&gt;0,J495*100/I495,0)</f>
        <v>100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9">
      <c r="A496" s="571"/>
      <c r="B496" s="572"/>
      <c r="C496" s="572"/>
      <c r="D496" s="572"/>
      <c r="E496" s="572"/>
      <c r="F496" s="184" t="s">
        <v>217</v>
      </c>
      <c r="G496" s="174"/>
      <c r="H496" s="36" t="s">
        <v>46</v>
      </c>
      <c r="I496" s="37"/>
      <c r="J496" s="181"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9">
      <c r="A497" s="571"/>
      <c r="B497" s="572"/>
      <c r="C497" s="572"/>
      <c r="D497" s="572"/>
      <c r="E497" s="572" t="s">
        <v>62</v>
      </c>
      <c r="F497" s="184"/>
      <c r="G497" s="174"/>
      <c r="H497" s="186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9">
      <c r="A498" s="571"/>
      <c r="B498" s="572"/>
      <c r="C498" s="572"/>
      <c r="D498" s="572"/>
      <c r="E498" s="184"/>
      <c r="F498" s="184" t="s">
        <v>218</v>
      </c>
      <c r="G498" s="174"/>
      <c r="H498" s="36" t="s">
        <v>46</v>
      </c>
      <c r="I498" s="37">
        <f ca="1">IFERROR(__xludf.DUMMYFUNCTION("IMPORTRANGE(""https://docs.google.com/spreadsheets/d/1QqKyyYR6Q21VydFLVH3TRQUabQu_ym0Zz7PgGX0-kHA/edit?usp=sharing"",""แผน!GA82"")"),30)</f>
        <v>30</v>
      </c>
      <c r="J498" s="181">
        <v>30</v>
      </c>
      <c r="K498" s="38">
        <f ca="1">IF(I498&gt;0,J498*100/I498,0)</f>
        <v>100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9">
      <c r="A499" s="571"/>
      <c r="B499" s="572"/>
      <c r="C499" s="572"/>
      <c r="D499" s="572"/>
      <c r="E499" s="184"/>
      <c r="F499" s="184" t="s">
        <v>219</v>
      </c>
      <c r="G499" s="174"/>
      <c r="H499" s="36" t="s">
        <v>46</v>
      </c>
      <c r="I499" s="37"/>
      <c r="J499" s="181">
        <v>0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" hidden="1">
      <c r="A500" s="582">
        <v>4</v>
      </c>
      <c r="B500" s="583" t="s">
        <v>220</v>
      </c>
      <c r="C500" s="584"/>
      <c r="D500" s="585"/>
      <c r="E500" s="585"/>
      <c r="F500" s="585"/>
      <c r="G500" s="586"/>
      <c r="H500" s="587" t="s">
        <v>109</v>
      </c>
      <c r="I500" s="588"/>
      <c r="J500" s="588">
        <f t="shared" ref="J500:J501" si="214">J516</f>
        <v>0</v>
      </c>
      <c r="K500" s="589">
        <f t="shared" ref="K500:K501" si="215">IF(I500&gt;0,J500*100/I500,0)</f>
        <v>0</v>
      </c>
      <c r="L500" s="590"/>
      <c r="M500" s="590"/>
      <c r="N500" s="590"/>
      <c r="O500" s="590"/>
      <c r="P500" s="590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" hidden="1">
      <c r="A501" s="591"/>
      <c r="B501" s="592" t="s">
        <v>221</v>
      </c>
      <c r="C501" s="592"/>
      <c r="D501" s="593"/>
      <c r="E501" s="593"/>
      <c r="F501" s="593"/>
      <c r="G501" s="594"/>
      <c r="H501" s="595" t="s">
        <v>35</v>
      </c>
      <c r="I501" s="596"/>
      <c r="J501" s="596">
        <f t="shared" si="214"/>
        <v>0</v>
      </c>
      <c r="K501" s="597">
        <f t="shared" si="215"/>
        <v>0</v>
      </c>
      <c r="L501" s="598"/>
      <c r="M501" s="598"/>
      <c r="N501" s="598"/>
      <c r="O501" s="598"/>
      <c r="P501" s="598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" hidden="1">
      <c r="A502" s="564"/>
      <c r="B502" s="565"/>
      <c r="C502" s="565" t="s">
        <v>16</v>
      </c>
      <c r="D502" s="783" t="s">
        <v>17</v>
      </c>
      <c r="E502" s="776"/>
      <c r="F502" s="776"/>
      <c r="G502" s="567"/>
      <c r="H502" s="600" t="s">
        <v>12</v>
      </c>
      <c r="I502" s="44"/>
      <c r="J502" s="44"/>
      <c r="K502" s="45"/>
      <c r="L502" s="601">
        <f t="shared" ref="L502:N502" si="216">L503+L504</f>
        <v>0</v>
      </c>
      <c r="M502" s="601">
        <f t="shared" si="216"/>
        <v>0</v>
      </c>
      <c r="N502" s="601">
        <f t="shared" si="216"/>
        <v>0</v>
      </c>
      <c r="O502" s="601">
        <f t="shared" ref="O502:O507" si="217">IF(L502&gt;0,N502*100/L502,0)</f>
        <v>0</v>
      </c>
      <c r="P502" s="601">
        <f t="shared" ref="P502:P507" si="218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9" hidden="1">
      <c r="A503" s="564"/>
      <c r="B503" s="565"/>
      <c r="C503" s="565"/>
      <c r="D503" s="566"/>
      <c r="E503" s="565" t="s">
        <v>185</v>
      </c>
      <c r="F503" s="565"/>
      <c r="G503" s="567"/>
      <c r="H503" s="164" t="s">
        <v>12</v>
      </c>
      <c r="I503" s="44"/>
      <c r="J503" s="44"/>
      <c r="K503" s="45"/>
      <c r="L503" s="45">
        <f t="shared" ref="L503:N504" si="219">L506+L513</f>
        <v>0</v>
      </c>
      <c r="M503" s="45">
        <f t="shared" si="219"/>
        <v>0</v>
      </c>
      <c r="N503" s="45">
        <f t="shared" si="219"/>
        <v>0</v>
      </c>
      <c r="O503" s="45">
        <f t="shared" si="217"/>
        <v>0</v>
      </c>
      <c r="P503" s="45">
        <f t="shared" si="218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9" hidden="1">
      <c r="A504" s="564"/>
      <c r="B504" s="569"/>
      <c r="C504" s="565"/>
      <c r="D504" s="566"/>
      <c r="E504" s="565" t="s">
        <v>186</v>
      </c>
      <c r="F504" s="565"/>
      <c r="G504" s="567"/>
      <c r="H504" s="164" t="s">
        <v>12</v>
      </c>
      <c r="I504" s="44"/>
      <c r="J504" s="44"/>
      <c r="K504" s="45"/>
      <c r="L504" s="45">
        <f t="shared" si="219"/>
        <v>0</v>
      </c>
      <c r="M504" s="45">
        <f t="shared" si="219"/>
        <v>0</v>
      </c>
      <c r="N504" s="45">
        <f t="shared" si="219"/>
        <v>0</v>
      </c>
      <c r="O504" s="45">
        <f t="shared" si="217"/>
        <v>0</v>
      </c>
      <c r="P504" s="45">
        <f t="shared" si="218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9" hidden="1">
      <c r="A505" s="564"/>
      <c r="B505" s="569"/>
      <c r="C505" s="565"/>
      <c r="D505" s="602" t="s">
        <v>20</v>
      </c>
      <c r="E505" s="565"/>
      <c r="F505" s="565"/>
      <c r="G505" s="567"/>
      <c r="H505" s="164" t="s">
        <v>12</v>
      </c>
      <c r="I505" s="165"/>
      <c r="J505" s="165"/>
      <c r="K505" s="166"/>
      <c r="L505" s="45">
        <f t="shared" ref="L505:N505" si="220">L506+L507</f>
        <v>0</v>
      </c>
      <c r="M505" s="45">
        <f t="shared" si="220"/>
        <v>0</v>
      </c>
      <c r="N505" s="45">
        <f t="shared" si="220"/>
        <v>0</v>
      </c>
      <c r="O505" s="45">
        <f t="shared" si="217"/>
        <v>0</v>
      </c>
      <c r="P505" s="45">
        <f t="shared" si="218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9" hidden="1">
      <c r="A506" s="564"/>
      <c r="B506" s="569"/>
      <c r="C506" s="565"/>
      <c r="D506" s="566"/>
      <c r="E506" s="565" t="s">
        <v>185</v>
      </c>
      <c r="F506" s="565"/>
      <c r="G506" s="567"/>
      <c r="H506" s="164" t="s">
        <v>12</v>
      </c>
      <c r="I506" s="44"/>
      <c r="J506" s="44"/>
      <c r="K506" s="45"/>
      <c r="L506" s="45">
        <v>0</v>
      </c>
      <c r="M506" s="45">
        <v>0</v>
      </c>
      <c r="N506" s="45">
        <v>0</v>
      </c>
      <c r="O506" s="45">
        <f t="shared" si="217"/>
        <v>0</v>
      </c>
      <c r="P506" s="45">
        <f t="shared" si="218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9" hidden="1">
      <c r="A507" s="564"/>
      <c r="B507" s="569"/>
      <c r="C507" s="565"/>
      <c r="D507" s="566"/>
      <c r="E507" s="565" t="s">
        <v>186</v>
      </c>
      <c r="F507" s="565"/>
      <c r="G507" s="567"/>
      <c r="H507" s="164" t="s">
        <v>12</v>
      </c>
      <c r="I507" s="44"/>
      <c r="J507" s="44"/>
      <c r="K507" s="45"/>
      <c r="L507" s="45">
        <v>0</v>
      </c>
      <c r="M507" s="45">
        <v>0</v>
      </c>
      <c r="N507" s="45">
        <f>N508+N509+N510+N511</f>
        <v>0</v>
      </c>
      <c r="O507" s="45">
        <f t="shared" si="217"/>
        <v>0</v>
      </c>
      <c r="P507" s="45">
        <f t="shared" si="218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9" hidden="1">
      <c r="A508" s="603"/>
      <c r="B508" s="569"/>
      <c r="C508" s="565"/>
      <c r="D508" s="565"/>
      <c r="E508" s="565"/>
      <c r="F508" s="565" t="s">
        <v>187</v>
      </c>
      <c r="G508" s="567"/>
      <c r="H508" s="164" t="s">
        <v>12</v>
      </c>
      <c r="I508" s="44"/>
      <c r="J508" s="44"/>
      <c r="K508" s="45"/>
      <c r="L508" s="45"/>
      <c r="M508" s="45"/>
      <c r="N508" s="45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9" hidden="1">
      <c r="A509" s="603"/>
      <c r="B509" s="569"/>
      <c r="C509" s="565"/>
      <c r="D509" s="565"/>
      <c r="E509" s="565"/>
      <c r="F509" s="565" t="s">
        <v>188</v>
      </c>
      <c r="G509" s="567"/>
      <c r="H509" s="164" t="s">
        <v>12</v>
      </c>
      <c r="I509" s="44"/>
      <c r="J509" s="44"/>
      <c r="K509" s="45"/>
      <c r="L509" s="45"/>
      <c r="M509" s="45"/>
      <c r="N509" s="45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9" hidden="1">
      <c r="A510" s="603"/>
      <c r="B510" s="569"/>
      <c r="C510" s="569"/>
      <c r="D510" s="569"/>
      <c r="E510" s="565"/>
      <c r="F510" s="565" t="s">
        <v>189</v>
      </c>
      <c r="G510" s="567"/>
      <c r="H510" s="164" t="s">
        <v>12</v>
      </c>
      <c r="I510" s="44"/>
      <c r="J510" s="44"/>
      <c r="K510" s="45"/>
      <c r="L510" s="45"/>
      <c r="M510" s="45"/>
      <c r="N510" s="45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9" hidden="1">
      <c r="A511" s="603"/>
      <c r="B511" s="569"/>
      <c r="C511" s="569"/>
      <c r="D511" s="569"/>
      <c r="E511" s="565"/>
      <c r="F511" s="565" t="s">
        <v>190</v>
      </c>
      <c r="G511" s="567"/>
      <c r="H511" s="164" t="s">
        <v>12</v>
      </c>
      <c r="I511" s="44"/>
      <c r="J511" s="44"/>
      <c r="K511" s="45"/>
      <c r="L511" s="45"/>
      <c r="M511" s="45"/>
      <c r="N511" s="45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9" hidden="1">
      <c r="A512" s="564"/>
      <c r="B512" s="569"/>
      <c r="C512" s="569"/>
      <c r="D512" s="602" t="s">
        <v>21</v>
      </c>
      <c r="E512" s="569"/>
      <c r="F512" s="565"/>
      <c r="G512" s="567"/>
      <c r="H512" s="168" t="s">
        <v>12</v>
      </c>
      <c r="I512" s="165"/>
      <c r="J512" s="165"/>
      <c r="K512" s="166"/>
      <c r="L512" s="45">
        <f t="shared" ref="L512:N512" si="221">L513+L514</f>
        <v>0</v>
      </c>
      <c r="M512" s="45">
        <f t="shared" si="221"/>
        <v>0</v>
      </c>
      <c r="N512" s="45">
        <f t="shared" si="221"/>
        <v>0</v>
      </c>
      <c r="O512" s="45">
        <f t="shared" ref="O512:O514" si="222">IF(L512&gt;0,N512*100/L512,0)</f>
        <v>0</v>
      </c>
      <c r="P512" s="45">
        <f t="shared" ref="P512:P514" si="223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9" hidden="1">
      <c r="A513" s="564"/>
      <c r="B513" s="569"/>
      <c r="C513" s="569"/>
      <c r="D513" s="569"/>
      <c r="E513" s="569" t="s">
        <v>18</v>
      </c>
      <c r="F513" s="565"/>
      <c r="G513" s="567"/>
      <c r="H513" s="164" t="s">
        <v>12</v>
      </c>
      <c r="I513" s="165"/>
      <c r="J513" s="165"/>
      <c r="K513" s="166"/>
      <c r="L513" s="45">
        <v>0</v>
      </c>
      <c r="M513" s="45">
        <v>0</v>
      </c>
      <c r="N513" s="45">
        <v>0</v>
      </c>
      <c r="O513" s="45">
        <f t="shared" si="222"/>
        <v>0</v>
      </c>
      <c r="P513" s="45">
        <f t="shared" si="223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9" hidden="1">
      <c r="A514" s="564"/>
      <c r="B514" s="569"/>
      <c r="C514" s="569"/>
      <c r="D514" s="565"/>
      <c r="E514" s="569" t="s">
        <v>19</v>
      </c>
      <c r="F514" s="565"/>
      <c r="G514" s="567"/>
      <c r="H514" s="168" t="s">
        <v>12</v>
      </c>
      <c r="I514" s="165"/>
      <c r="J514" s="165"/>
      <c r="K514" s="166"/>
      <c r="L514" s="45">
        <v>0</v>
      </c>
      <c r="M514" s="45">
        <v>0</v>
      </c>
      <c r="N514" s="45">
        <v>0</v>
      </c>
      <c r="O514" s="45">
        <f t="shared" si="222"/>
        <v>0</v>
      </c>
      <c r="P514" s="45">
        <f t="shared" si="223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" hidden="1">
      <c r="A515" s="577"/>
      <c r="B515" s="578"/>
      <c r="C515" s="569" t="s">
        <v>16</v>
      </c>
      <c r="D515" s="813" t="s">
        <v>38</v>
      </c>
      <c r="E515" s="605"/>
      <c r="F515" s="605"/>
      <c r="G515" s="606"/>
      <c r="H515" s="351"/>
      <c r="I515" s="165"/>
      <c r="J515" s="165"/>
      <c r="K515" s="166"/>
      <c r="L515" s="166"/>
      <c r="M515" s="166"/>
      <c r="N515" s="166"/>
      <c r="O515" s="166"/>
      <c r="P515" s="166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9" hidden="1">
      <c r="A516" s="577"/>
      <c r="B516" s="578"/>
      <c r="C516" s="578"/>
      <c r="D516" s="578" t="s">
        <v>222</v>
      </c>
      <c r="E516" s="566"/>
      <c r="F516" s="566"/>
      <c r="G516" s="351"/>
      <c r="H516" s="607" t="s">
        <v>109</v>
      </c>
      <c r="I516" s="44"/>
      <c r="J516" s="44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" hidden="1">
      <c r="A517" s="577"/>
      <c r="B517" s="578"/>
      <c r="C517" s="578"/>
      <c r="D517" s="578" t="s">
        <v>223</v>
      </c>
      <c r="E517" s="566"/>
      <c r="F517" s="566"/>
      <c r="G517" s="351"/>
      <c r="H517" s="608" t="s">
        <v>35</v>
      </c>
      <c r="I517" s="609"/>
      <c r="J517" s="609">
        <f>J518+J519</f>
        <v>0</v>
      </c>
      <c r="K517" s="610">
        <f t="shared" si="224"/>
        <v>0</v>
      </c>
      <c r="L517" s="166"/>
      <c r="M517" s="166"/>
      <c r="N517" s="166"/>
      <c r="O517" s="166"/>
      <c r="P517" s="166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9" hidden="1">
      <c r="A518" s="577"/>
      <c r="B518" s="578"/>
      <c r="C518" s="578"/>
      <c r="D518" s="578"/>
      <c r="E518" s="578" t="s">
        <v>224</v>
      </c>
      <c r="F518" s="566"/>
      <c r="G518" s="351"/>
      <c r="H518" s="354" t="s">
        <v>35</v>
      </c>
      <c r="I518" s="44"/>
      <c r="J518" s="44"/>
      <c r="K518" s="166"/>
      <c r="L518" s="166"/>
      <c r="M518" s="166"/>
      <c r="N518" s="166"/>
      <c r="O518" s="166"/>
      <c r="P518" s="166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9" hidden="1">
      <c r="A519" s="577"/>
      <c r="B519" s="578"/>
      <c r="C519" s="578"/>
      <c r="D519" s="578"/>
      <c r="E519" s="578" t="s">
        <v>225</v>
      </c>
      <c r="F519" s="566"/>
      <c r="G519" s="351"/>
      <c r="H519" s="607" t="s">
        <v>35</v>
      </c>
      <c r="I519" s="44"/>
      <c r="J519" s="44"/>
      <c r="K519" s="166"/>
      <c r="L519" s="166"/>
      <c r="M519" s="166"/>
      <c r="N519" s="166"/>
      <c r="O519" s="166"/>
      <c r="P519" s="166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">
      <c r="A520" s="611" t="s">
        <v>137</v>
      </c>
      <c r="B520" s="612"/>
      <c r="C520" s="612"/>
      <c r="D520" s="613"/>
      <c r="E520" s="613"/>
      <c r="F520" s="613"/>
      <c r="G520" s="614"/>
      <c r="H520" s="615"/>
      <c r="I520" s="616"/>
      <c r="J520" s="616"/>
      <c r="K520" s="617"/>
      <c r="L520" s="617"/>
      <c r="M520" s="617"/>
      <c r="N520" s="617"/>
      <c r="O520" s="617"/>
      <c r="P520" s="617"/>
    </row>
    <row r="521" spans="1:26" ht="19" hidden="1">
      <c r="A521" s="618">
        <v>5</v>
      </c>
      <c r="B521" s="619" t="s">
        <v>226</v>
      </c>
      <c r="C521" s="620"/>
      <c r="D521" s="621"/>
      <c r="E521" s="621"/>
      <c r="F521" s="621"/>
      <c r="G521" s="621"/>
      <c r="H521" s="622"/>
      <c r="I521" s="623"/>
      <c r="J521" s="623"/>
      <c r="K521" s="624"/>
      <c r="L521" s="624"/>
      <c r="M521" s="624"/>
      <c r="N521" s="624"/>
      <c r="O521" s="624"/>
      <c r="P521" s="624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" hidden="1">
      <c r="A522" s="625"/>
      <c r="B522" s="626" t="s">
        <v>227</v>
      </c>
      <c r="C522" s="627"/>
      <c r="D522" s="627"/>
      <c r="E522" s="627"/>
      <c r="F522" s="627"/>
      <c r="G522" s="628"/>
      <c r="H522" s="629" t="s">
        <v>35</v>
      </c>
      <c r="I522" s="630">
        <f t="shared" ref="I522:J522" ca="1" si="225">I537</f>
        <v>0</v>
      </c>
      <c r="J522" s="630">
        <f t="shared" ca="1" si="225"/>
        <v>0</v>
      </c>
      <c r="K522" s="631">
        <f ca="1">IF(I522&gt;0,J522*100/I522,0)</f>
        <v>0</v>
      </c>
      <c r="L522" s="632"/>
      <c r="M522" s="632"/>
      <c r="N522" s="632"/>
      <c r="O522" s="632"/>
      <c r="P522" s="632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" hidden="1">
      <c r="A523" s="562"/>
      <c r="B523" s="542"/>
      <c r="C523" s="542" t="s">
        <v>16</v>
      </c>
      <c r="D523" s="782" t="s">
        <v>17</v>
      </c>
      <c r="E523" s="776"/>
      <c r="F523" s="776"/>
      <c r="G523" s="186"/>
      <c r="H523" s="563" t="s">
        <v>12</v>
      </c>
      <c r="I523" s="37"/>
      <c r="J523" s="37"/>
      <c r="K523" s="38"/>
      <c r="L523" s="191">
        <f t="shared" ref="L523:N523" ca="1" si="226">L524+L525</f>
        <v>0</v>
      </c>
      <c r="M523" s="191">
        <f t="shared" si="226"/>
        <v>0</v>
      </c>
      <c r="N523" s="191">
        <f t="shared" si="226"/>
        <v>0</v>
      </c>
      <c r="O523" s="191">
        <f t="shared" ref="O523:O528" ca="1" si="227">IF(L523&gt;0,N523*100/L523,0)</f>
        <v>0</v>
      </c>
      <c r="P523" s="191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9" hidden="1">
      <c r="A524" s="564"/>
      <c r="B524" s="565"/>
      <c r="C524" s="565"/>
      <c r="D524" s="566"/>
      <c r="E524" s="565" t="s">
        <v>185</v>
      </c>
      <c r="F524" s="565"/>
      <c r="G524" s="567"/>
      <c r="H524" s="164" t="s">
        <v>12</v>
      </c>
      <c r="I524" s="44"/>
      <c r="J524" s="44"/>
      <c r="K524" s="45"/>
      <c r="L524" s="45">
        <f t="shared" ref="L524:N525" si="229">L527+L534</f>
        <v>0</v>
      </c>
      <c r="M524" s="45">
        <f t="shared" si="229"/>
        <v>0</v>
      </c>
      <c r="N524" s="45">
        <f t="shared" si="229"/>
        <v>0</v>
      </c>
      <c r="O524" s="45">
        <f t="shared" si="227"/>
        <v>0</v>
      </c>
      <c r="P524" s="45">
        <f t="shared" si="228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9" hidden="1">
      <c r="A525" s="564"/>
      <c r="B525" s="569"/>
      <c r="C525" s="565"/>
      <c r="D525" s="566"/>
      <c r="E525" s="565" t="s">
        <v>186</v>
      </c>
      <c r="F525" s="565"/>
      <c r="G525" s="567"/>
      <c r="H525" s="164" t="s">
        <v>12</v>
      </c>
      <c r="I525" s="44"/>
      <c r="J525" s="44"/>
      <c r="K525" s="45"/>
      <c r="L525" s="45">
        <f t="shared" ca="1" si="229"/>
        <v>0</v>
      </c>
      <c r="M525" s="45">
        <f t="shared" si="229"/>
        <v>0</v>
      </c>
      <c r="N525" s="45">
        <f t="shared" si="229"/>
        <v>0</v>
      </c>
      <c r="O525" s="45">
        <f t="shared" ca="1" si="227"/>
        <v>0</v>
      </c>
      <c r="P525" s="45">
        <f t="shared" si="228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9" hidden="1">
      <c r="A526" s="562"/>
      <c r="B526" s="541"/>
      <c r="C526" s="542"/>
      <c r="D526" s="570" t="s">
        <v>20</v>
      </c>
      <c r="E526" s="542"/>
      <c r="F526" s="542"/>
      <c r="G526" s="186"/>
      <c r="H526" s="160" t="s">
        <v>12</v>
      </c>
      <c r="I526" s="161"/>
      <c r="J526" s="161"/>
      <c r="K526" s="162"/>
      <c r="L526" s="38">
        <f t="shared" ref="L526:N526" ca="1" si="230">L527+L528</f>
        <v>0</v>
      </c>
      <c r="M526" s="38">
        <f t="shared" si="230"/>
        <v>0</v>
      </c>
      <c r="N526" s="38">
        <f t="shared" si="230"/>
        <v>0</v>
      </c>
      <c r="O526" s="38">
        <f t="shared" ca="1" si="227"/>
        <v>0</v>
      </c>
      <c r="P526" s="38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9" hidden="1">
      <c r="A527" s="564"/>
      <c r="B527" s="569"/>
      <c r="C527" s="565"/>
      <c r="D527" s="566"/>
      <c r="E527" s="565" t="s">
        <v>185</v>
      </c>
      <c r="F527" s="565"/>
      <c r="G527" s="567"/>
      <c r="H527" s="164" t="s">
        <v>12</v>
      </c>
      <c r="I527" s="44"/>
      <c r="J527" s="44"/>
      <c r="K527" s="45"/>
      <c r="L527" s="45">
        <v>0</v>
      </c>
      <c r="M527" s="45">
        <v>0</v>
      </c>
      <c r="N527" s="45">
        <v>0</v>
      </c>
      <c r="O527" s="45">
        <f t="shared" si="227"/>
        <v>0</v>
      </c>
      <c r="P527" s="45">
        <f t="shared" si="228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9" hidden="1">
      <c r="A528" s="564"/>
      <c r="B528" s="569"/>
      <c r="C528" s="565"/>
      <c r="D528" s="566"/>
      <c r="E528" s="565" t="s">
        <v>186</v>
      </c>
      <c r="F528" s="565"/>
      <c r="G528" s="567"/>
      <c r="H528" s="164" t="s">
        <v>12</v>
      </c>
      <c r="I528" s="44"/>
      <c r="J528" s="44"/>
      <c r="K528" s="45"/>
      <c r="L528" s="45">
        <f ca="1">IFERROR(__xludf.DUMMYFUNCTION("IMPORTRANGE(""https://docs.google.com/spreadsheets/d/1QqKyyYR6Q21VydFLVH3TRQUabQu_ym0Zz7PgGX0-kHA/edit?usp=sharing"",""แผน!GQ82"")"),0)</f>
        <v>0</v>
      </c>
      <c r="M528" s="45">
        <v>0</v>
      </c>
      <c r="N528" s="45">
        <f>N529+N530+N531+N532</f>
        <v>0</v>
      </c>
      <c r="O528" s="45">
        <f t="shared" ca="1" si="227"/>
        <v>0</v>
      </c>
      <c r="P528" s="45">
        <f t="shared" si="228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9" hidden="1">
      <c r="A529" s="540"/>
      <c r="B529" s="541"/>
      <c r="C529" s="542"/>
      <c r="D529" s="542"/>
      <c r="E529" s="542"/>
      <c r="F529" s="542" t="s">
        <v>187</v>
      </c>
      <c r="G529" s="186"/>
      <c r="H529" s="160" t="s">
        <v>12</v>
      </c>
      <c r="I529" s="37"/>
      <c r="J529" s="37"/>
      <c r="K529" s="38"/>
      <c r="L529" s="38"/>
      <c r="M529" s="38"/>
      <c r="N529" s="270">
        <v>0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9" hidden="1">
      <c r="A530" s="540"/>
      <c r="B530" s="541"/>
      <c r="C530" s="542"/>
      <c r="D530" s="542"/>
      <c r="E530" s="542"/>
      <c r="F530" s="542" t="s">
        <v>188</v>
      </c>
      <c r="G530" s="186"/>
      <c r="H530" s="160" t="s">
        <v>12</v>
      </c>
      <c r="I530" s="37"/>
      <c r="J530" s="37"/>
      <c r="K530" s="38"/>
      <c r="L530" s="38"/>
      <c r="M530" s="38"/>
      <c r="N530" s="270">
        <v>0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9" hidden="1">
      <c r="A531" s="540"/>
      <c r="B531" s="541"/>
      <c r="C531" s="542"/>
      <c r="D531" s="542"/>
      <c r="E531" s="542"/>
      <c r="F531" s="542" t="s">
        <v>189</v>
      </c>
      <c r="G531" s="186"/>
      <c r="H531" s="160" t="s">
        <v>12</v>
      </c>
      <c r="I531" s="37"/>
      <c r="J531" s="37"/>
      <c r="K531" s="38"/>
      <c r="L531" s="38"/>
      <c r="M531" s="38"/>
      <c r="N531" s="270"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9" hidden="1">
      <c r="A532" s="540"/>
      <c r="B532" s="541"/>
      <c r="C532" s="542"/>
      <c r="D532" s="542"/>
      <c r="E532" s="542"/>
      <c r="F532" s="542" t="s">
        <v>190</v>
      </c>
      <c r="G532" s="186"/>
      <c r="H532" s="160" t="s">
        <v>12</v>
      </c>
      <c r="I532" s="37"/>
      <c r="J532" s="37"/>
      <c r="K532" s="38"/>
      <c r="L532" s="38"/>
      <c r="M532" s="38"/>
      <c r="N532" s="270">
        <v>0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9" hidden="1">
      <c r="A533" s="562"/>
      <c r="B533" s="541"/>
      <c r="C533" s="542"/>
      <c r="D533" s="570" t="s">
        <v>21</v>
      </c>
      <c r="E533" s="542"/>
      <c r="F533" s="542"/>
      <c r="G533" s="186"/>
      <c r="H533" s="167" t="s">
        <v>12</v>
      </c>
      <c r="I533" s="161"/>
      <c r="J533" s="161"/>
      <c r="K533" s="162"/>
      <c r="L533" s="38">
        <f t="shared" ref="L533:N533" ca="1" si="231">L534+L535</f>
        <v>0</v>
      </c>
      <c r="M533" s="38">
        <f t="shared" si="231"/>
        <v>0</v>
      </c>
      <c r="N533" s="38">
        <f t="shared" si="231"/>
        <v>0</v>
      </c>
      <c r="O533" s="38">
        <f t="shared" ref="O533:O535" ca="1" si="232">IF(L533&gt;0,N533*100/L533,0)</f>
        <v>0</v>
      </c>
      <c r="P533" s="38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9" hidden="1">
      <c r="A534" s="564"/>
      <c r="B534" s="569"/>
      <c r="C534" s="565"/>
      <c r="D534" s="565"/>
      <c r="E534" s="565" t="s">
        <v>18</v>
      </c>
      <c r="F534" s="565"/>
      <c r="G534" s="567"/>
      <c r="H534" s="164" t="s">
        <v>12</v>
      </c>
      <c r="I534" s="165"/>
      <c r="J534" s="165"/>
      <c r="K534" s="166"/>
      <c r="L534" s="45">
        <v>0</v>
      </c>
      <c r="M534" s="45">
        <v>0</v>
      </c>
      <c r="N534" s="45">
        <v>0</v>
      </c>
      <c r="O534" s="45">
        <f t="shared" si="232"/>
        <v>0</v>
      </c>
      <c r="P534" s="45">
        <f t="shared" si="233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9" hidden="1">
      <c r="A535" s="564"/>
      <c r="B535" s="569"/>
      <c r="C535" s="565"/>
      <c r="D535" s="565"/>
      <c r="E535" s="565" t="s">
        <v>19</v>
      </c>
      <c r="F535" s="565"/>
      <c r="G535" s="567"/>
      <c r="H535" s="168" t="s">
        <v>12</v>
      </c>
      <c r="I535" s="165"/>
      <c r="J535" s="165"/>
      <c r="K535" s="166"/>
      <c r="L535" s="45">
        <f ca="1">IFERROR(__xludf.DUMMYFUNCTION("IMPORTRANGE(""https://docs.google.com/spreadsheets/d/1QqKyyYR6Q21VydFLVH3TRQUabQu_ym0Zz7PgGX0-kHA/edit?usp=sharing"",""แผน!GT82"")"),0)</f>
        <v>0</v>
      </c>
      <c r="M535" s="45">
        <v>0</v>
      </c>
      <c r="N535" s="45">
        <v>0</v>
      </c>
      <c r="O535" s="45">
        <f t="shared" ca="1" si="232"/>
        <v>0</v>
      </c>
      <c r="P535" s="45">
        <f t="shared" si="233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" hidden="1">
      <c r="A536" s="571"/>
      <c r="B536" s="572"/>
      <c r="C536" s="542" t="s">
        <v>16</v>
      </c>
      <c r="D536" s="814" t="s">
        <v>38</v>
      </c>
      <c r="E536" s="575"/>
      <c r="F536" s="575"/>
      <c r="G536" s="576"/>
      <c r="H536" s="174"/>
      <c r="I536" s="161"/>
      <c r="J536" s="161"/>
      <c r="K536" s="162"/>
      <c r="L536" s="162"/>
      <c r="M536" s="162"/>
      <c r="N536" s="162"/>
      <c r="O536" s="162"/>
      <c r="P536" s="162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" hidden="1">
      <c r="A537" s="540"/>
      <c r="B537" s="541"/>
      <c r="C537" s="542"/>
      <c r="D537" s="542" t="s">
        <v>228</v>
      </c>
      <c r="E537" s="542"/>
      <c r="F537" s="542"/>
      <c r="G537" s="186"/>
      <c r="H537" s="36" t="s">
        <v>35</v>
      </c>
      <c r="I537" s="190">
        <f ca="1">IFERROR(__xludf.DUMMYFUNCTION("IMPORTRANGE(""https://docs.google.com/spreadsheets/d/1QqKyyYR6Q21VydFLVH3TRQUabQu_ym0Zz7PgGX0-kHA/edit?usp=sharing"",""แผน!GU82"")"),0)</f>
        <v>0</v>
      </c>
      <c r="J537" s="190">
        <f ca="1">IF(AND(J538=I538,J539=I539,J540=I540,J541=I541),I537,0)</f>
        <v>0</v>
      </c>
      <c r="K537" s="38">
        <f t="shared" ref="K537:K543" ca="1" si="234">IF(I537&gt;0,J537*100/I537,0)</f>
        <v>0</v>
      </c>
      <c r="L537" s="38"/>
      <c r="M537" s="38"/>
      <c r="N537" s="38"/>
      <c r="O537" s="38"/>
      <c r="P537" s="38"/>
      <c r="Q537" s="634"/>
      <c r="R537" s="634"/>
      <c r="S537" s="634"/>
      <c r="T537" s="634"/>
      <c r="U537" s="634"/>
      <c r="V537" s="634"/>
      <c r="W537" s="634"/>
      <c r="X537" s="634"/>
      <c r="Y537" s="634"/>
      <c r="Z537" s="634"/>
    </row>
    <row r="538" spans="1:26" ht="19" hidden="1">
      <c r="A538" s="540"/>
      <c r="B538" s="541"/>
      <c r="C538" s="542"/>
      <c r="D538" s="542"/>
      <c r="E538" s="542" t="s">
        <v>229</v>
      </c>
      <c r="F538" s="542"/>
      <c r="G538" s="186"/>
      <c r="H538" s="36" t="s">
        <v>35</v>
      </c>
      <c r="I538" s="37">
        <f ca="1">IFERROR(__xludf.DUMMYFUNCTION("IMPORTRANGE(""https://docs.google.com/spreadsheets/d/1QqKyyYR6Q21VydFLVH3TRQUabQu_ym0Zz7PgGX0-kHA/edit?usp=sharing"",""แผน!GV82"")"),0)</f>
        <v>0</v>
      </c>
      <c r="J538" s="181">
        <v>0</v>
      </c>
      <c r="K538" s="38">
        <f t="shared" ca="1" si="234"/>
        <v>0</v>
      </c>
      <c r="L538" s="38"/>
      <c r="M538" s="38"/>
      <c r="N538" s="38"/>
      <c r="O538" s="38"/>
      <c r="P538" s="38"/>
      <c r="Q538" s="634"/>
      <c r="R538" s="634"/>
      <c r="S538" s="634"/>
      <c r="T538" s="634"/>
      <c r="U538" s="634"/>
      <c r="V538" s="634"/>
      <c r="W538" s="634"/>
      <c r="X538" s="634"/>
      <c r="Y538" s="634"/>
      <c r="Z538" s="634"/>
    </row>
    <row r="539" spans="1:26" ht="19" hidden="1">
      <c r="A539" s="540"/>
      <c r="B539" s="541"/>
      <c r="C539" s="542"/>
      <c r="D539" s="542"/>
      <c r="E539" s="542" t="s">
        <v>230</v>
      </c>
      <c r="F539" s="542"/>
      <c r="G539" s="186"/>
      <c r="H539" s="36" t="s">
        <v>35</v>
      </c>
      <c r="I539" s="37">
        <f ca="1">IFERROR(__xludf.DUMMYFUNCTION("IMPORTRANGE(""https://docs.google.com/spreadsheets/d/1QqKyyYR6Q21VydFLVH3TRQUabQu_ym0Zz7PgGX0-kHA/edit?usp=sharing"",""แผน!GW82"")"),0)</f>
        <v>0</v>
      </c>
      <c r="J539" s="181">
        <v>0</v>
      </c>
      <c r="K539" s="38">
        <f t="shared" ca="1" si="234"/>
        <v>0</v>
      </c>
      <c r="L539" s="38"/>
      <c r="M539" s="38"/>
      <c r="N539" s="38"/>
      <c r="O539" s="38"/>
      <c r="P539" s="38"/>
      <c r="Q539" s="634"/>
      <c r="R539" s="634"/>
      <c r="S539" s="634"/>
      <c r="T539" s="634"/>
      <c r="U539" s="634"/>
      <c r="V539" s="634"/>
      <c r="W539" s="634"/>
      <c r="X539" s="634"/>
      <c r="Y539" s="634"/>
      <c r="Z539" s="634"/>
    </row>
    <row r="540" spans="1:26" ht="19" hidden="1">
      <c r="A540" s="540"/>
      <c r="B540" s="541"/>
      <c r="C540" s="542"/>
      <c r="D540" s="542"/>
      <c r="E540" s="542" t="s">
        <v>231</v>
      </c>
      <c r="F540" s="542"/>
      <c r="G540" s="186"/>
      <c r="H540" s="36" t="s">
        <v>35</v>
      </c>
      <c r="I540" s="37">
        <f ca="1">IFERROR(__xludf.DUMMYFUNCTION("IMPORTRANGE(""https://docs.google.com/spreadsheets/d/1QqKyyYR6Q21VydFLVH3TRQUabQu_ym0Zz7PgGX0-kHA/edit?usp=sharing"",""แผน!GX82"")"),0)</f>
        <v>0</v>
      </c>
      <c r="J540" s="181">
        <v>0</v>
      </c>
      <c r="K540" s="38">
        <f t="shared" ca="1" si="234"/>
        <v>0</v>
      </c>
      <c r="L540" s="38"/>
      <c r="M540" s="38"/>
      <c r="N540" s="38"/>
      <c r="O540" s="38"/>
      <c r="P540" s="38"/>
      <c r="Q540" s="634"/>
      <c r="R540" s="634"/>
      <c r="S540" s="634"/>
      <c r="T540" s="634"/>
      <c r="U540" s="634"/>
      <c r="V540" s="634"/>
      <c r="W540" s="634"/>
      <c r="X540" s="634"/>
      <c r="Y540" s="634"/>
      <c r="Z540" s="634"/>
    </row>
    <row r="541" spans="1:26" ht="19" hidden="1">
      <c r="A541" s="540"/>
      <c r="B541" s="541"/>
      <c r="C541" s="542"/>
      <c r="D541" s="542"/>
      <c r="E541" s="635" t="s">
        <v>232</v>
      </c>
      <c r="F541" s="542"/>
      <c r="G541" s="186"/>
      <c r="H541" s="36" t="s">
        <v>35</v>
      </c>
      <c r="I541" s="37">
        <f ca="1">IFERROR(__xludf.DUMMYFUNCTION("IMPORTRANGE(""https://docs.google.com/spreadsheets/d/1QqKyyYR6Q21VydFLVH3TRQUabQu_ym0Zz7PgGX0-kHA/edit?usp=sharing"",""แผน!GY82"")"),0)</f>
        <v>0</v>
      </c>
      <c r="J541" s="181">
        <v>0</v>
      </c>
      <c r="K541" s="38">
        <f t="shared" ca="1" si="234"/>
        <v>0</v>
      </c>
      <c r="L541" s="38"/>
      <c r="M541" s="38"/>
      <c r="N541" s="38"/>
      <c r="O541" s="38"/>
      <c r="P541" s="38"/>
      <c r="Q541" s="634"/>
      <c r="R541" s="634"/>
      <c r="S541" s="634"/>
      <c r="T541" s="634"/>
      <c r="U541" s="634"/>
      <c r="V541" s="634"/>
      <c r="W541" s="634"/>
      <c r="X541" s="634"/>
      <c r="Y541" s="634"/>
      <c r="Z541" s="634"/>
    </row>
    <row r="542" spans="1:26" ht="19" hidden="1">
      <c r="A542" s="540"/>
      <c r="B542" s="541"/>
      <c r="C542" s="542"/>
      <c r="D542" s="542" t="s">
        <v>59</v>
      </c>
      <c r="E542" s="542"/>
      <c r="F542" s="542"/>
      <c r="G542" s="186"/>
      <c r="H542" s="36" t="s">
        <v>35</v>
      </c>
      <c r="I542" s="37">
        <f ca="1">IFERROR(__xludf.DUMMYFUNCTION("IMPORTRANGE(""https://docs.google.com/spreadsheets/d/1QqKyyYR6Q21VydFLVH3TRQUabQu_ym0Zz7PgGX0-kHA/edit?usp=sharing"",""แผน!GZ82"")"),0)</f>
        <v>0</v>
      </c>
      <c r="J542" s="181">
        <v>0</v>
      </c>
      <c r="K542" s="38">
        <f t="shared" ca="1" si="234"/>
        <v>0</v>
      </c>
      <c r="L542" s="38"/>
      <c r="M542" s="38"/>
      <c r="N542" s="38"/>
      <c r="O542" s="38"/>
      <c r="P542" s="38"/>
      <c r="Q542" s="634"/>
      <c r="R542" s="634"/>
      <c r="S542" s="634"/>
      <c r="T542" s="634"/>
      <c r="U542" s="634"/>
      <c r="V542" s="634"/>
      <c r="W542" s="634"/>
      <c r="X542" s="634"/>
      <c r="Y542" s="634"/>
      <c r="Z542" s="634"/>
    </row>
    <row r="543" spans="1:26" ht="19">
      <c r="A543" s="618">
        <v>6</v>
      </c>
      <c r="B543" s="636" t="s">
        <v>233</v>
      </c>
      <c r="C543" s="621"/>
      <c r="D543" s="621"/>
      <c r="E543" s="621"/>
      <c r="F543" s="621"/>
      <c r="G543" s="622"/>
      <c r="H543" s="637" t="s">
        <v>46</v>
      </c>
      <c r="I543" s="638">
        <f t="shared" ref="I543:J543" ca="1" si="235">I559</f>
        <v>36514</v>
      </c>
      <c r="J543" s="638">
        <f t="shared" si="235"/>
        <v>36514</v>
      </c>
      <c r="K543" s="639">
        <f t="shared" ca="1" si="234"/>
        <v>100</v>
      </c>
      <c r="L543" s="624"/>
      <c r="M543" s="624"/>
      <c r="N543" s="624"/>
      <c r="O543" s="624"/>
      <c r="P543" s="624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">
      <c r="A544" s="640"/>
      <c r="B544" s="641"/>
      <c r="C544" s="641" t="s">
        <v>16</v>
      </c>
      <c r="D544" s="815" t="s">
        <v>17</v>
      </c>
      <c r="E544" s="781"/>
      <c r="F544" s="781"/>
      <c r="G544" s="642"/>
      <c r="H544" s="263" t="s">
        <v>12</v>
      </c>
      <c r="I544" s="152"/>
      <c r="J544" s="152"/>
      <c r="K544" s="153"/>
      <c r="L544" s="154">
        <f t="shared" ref="L544:N544" ca="1" si="236">L545+L546</f>
        <v>537675</v>
      </c>
      <c r="M544" s="154">
        <f t="shared" ca="1" si="236"/>
        <v>537675</v>
      </c>
      <c r="N544" s="154">
        <f t="shared" si="236"/>
        <v>294758.88</v>
      </c>
      <c r="O544" s="154">
        <f t="shared" ref="O544:O549" ca="1" si="237">IF(L544&gt;0,N544*100/L544,0)</f>
        <v>54.82101269354164</v>
      </c>
      <c r="P544" s="154">
        <f t="shared" ref="P544:P549" ca="1" si="238">IF(M544&gt;0,N544*100/M544,0)</f>
        <v>54.82101269354164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9" hidden="1">
      <c r="A545" s="564"/>
      <c r="B545" s="565"/>
      <c r="C545" s="565"/>
      <c r="D545" s="565"/>
      <c r="E545" s="565" t="s">
        <v>185</v>
      </c>
      <c r="F545" s="565"/>
      <c r="G545" s="567"/>
      <c r="H545" s="164" t="s">
        <v>12</v>
      </c>
      <c r="I545" s="44"/>
      <c r="J545" s="44"/>
      <c r="K545" s="45"/>
      <c r="L545" s="45">
        <f t="shared" ref="L545:L546" si="239">L548+L556</f>
        <v>0</v>
      </c>
      <c r="M545" s="45">
        <f t="shared" ref="M545:N546" si="240">M548+M555</f>
        <v>0</v>
      </c>
      <c r="N545" s="45">
        <f t="shared" si="240"/>
        <v>0</v>
      </c>
      <c r="O545" s="45">
        <f t="shared" si="237"/>
        <v>0</v>
      </c>
      <c r="P545" s="45">
        <f t="shared" si="238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9" hidden="1">
      <c r="A546" s="564"/>
      <c r="B546" s="569"/>
      <c r="C546" s="565"/>
      <c r="D546" s="565"/>
      <c r="E546" s="565" t="s">
        <v>186</v>
      </c>
      <c r="F546" s="565"/>
      <c r="G546" s="567"/>
      <c r="H546" s="164" t="s">
        <v>12</v>
      </c>
      <c r="I546" s="44"/>
      <c r="J546" s="44"/>
      <c r="K546" s="45"/>
      <c r="L546" s="45">
        <f t="shared" ca="1" si="239"/>
        <v>537675</v>
      </c>
      <c r="M546" s="45">
        <f t="shared" ca="1" si="240"/>
        <v>537675</v>
      </c>
      <c r="N546" s="45">
        <f t="shared" si="240"/>
        <v>294758.88</v>
      </c>
      <c r="O546" s="45">
        <f t="shared" ca="1" si="237"/>
        <v>54.82101269354164</v>
      </c>
      <c r="P546" s="45">
        <f t="shared" ca="1" si="238"/>
        <v>54.82101269354164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9">
      <c r="A547" s="562"/>
      <c r="B547" s="541"/>
      <c r="C547" s="542"/>
      <c r="D547" s="570" t="s">
        <v>20</v>
      </c>
      <c r="E547" s="542"/>
      <c r="F547" s="542"/>
      <c r="G547" s="186"/>
      <c r="H547" s="160" t="s">
        <v>12</v>
      </c>
      <c r="I547" s="161"/>
      <c r="J547" s="161"/>
      <c r="K547" s="162"/>
      <c r="L547" s="38">
        <f t="shared" ref="L547:N547" ca="1" si="241">L548+L549</f>
        <v>537675</v>
      </c>
      <c r="M547" s="38">
        <f t="shared" ca="1" si="241"/>
        <v>537675</v>
      </c>
      <c r="N547" s="38">
        <f t="shared" si="241"/>
        <v>294758.88</v>
      </c>
      <c r="O547" s="38">
        <f t="shared" ca="1" si="237"/>
        <v>54.82101269354164</v>
      </c>
      <c r="P547" s="38">
        <f t="shared" ca="1" si="238"/>
        <v>54.82101269354164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9" hidden="1">
      <c r="A548" s="564"/>
      <c r="B548" s="569"/>
      <c r="C548" s="565"/>
      <c r="D548" s="566"/>
      <c r="E548" s="565" t="s">
        <v>185</v>
      </c>
      <c r="F548" s="565"/>
      <c r="G548" s="567"/>
      <c r="H548" s="164" t="s">
        <v>12</v>
      </c>
      <c r="I548" s="44"/>
      <c r="J548" s="44"/>
      <c r="K548" s="45"/>
      <c r="L548" s="45">
        <v>0</v>
      </c>
      <c r="M548" s="45">
        <v>0</v>
      </c>
      <c r="N548" s="45">
        <v>0</v>
      </c>
      <c r="O548" s="45">
        <f t="shared" si="237"/>
        <v>0</v>
      </c>
      <c r="P548" s="45">
        <f t="shared" si="238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9" hidden="1">
      <c r="A549" s="564"/>
      <c r="B549" s="569"/>
      <c r="C549" s="565"/>
      <c r="D549" s="566"/>
      <c r="E549" s="565" t="s">
        <v>186</v>
      </c>
      <c r="F549" s="565"/>
      <c r="G549" s="567"/>
      <c r="H549" s="164" t="s">
        <v>12</v>
      </c>
      <c r="I549" s="44"/>
      <c r="J549" s="44"/>
      <c r="K549" s="45"/>
      <c r="L549" s="45">
        <f ca="1">IFERROR(__xludf.DUMMYFUNCTION("IMPORTRANGE(""https://docs.google.com/spreadsheets/d/1QqKyyYR6Q21VydFLVH3TRQUabQu_ym0Zz7PgGX0-kHA/edit?usp=sharing"",""แผน!HB82"")"),537675)</f>
        <v>537675</v>
      </c>
      <c r="M549" s="45">
        <f ca="1">L549</f>
        <v>537675</v>
      </c>
      <c r="N549" s="45">
        <f>N550+N551+N552+N553+N554</f>
        <v>294758.88</v>
      </c>
      <c r="O549" s="45">
        <f t="shared" ca="1" si="237"/>
        <v>54.82101269354164</v>
      </c>
      <c r="P549" s="45">
        <f t="shared" ca="1" si="238"/>
        <v>54.82101269354164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9">
      <c r="A550" s="540"/>
      <c r="B550" s="541"/>
      <c r="C550" s="542"/>
      <c r="D550" s="542"/>
      <c r="E550" s="542"/>
      <c r="F550" s="542" t="s">
        <v>187</v>
      </c>
      <c r="G550" s="186"/>
      <c r="H550" s="160" t="s">
        <v>12</v>
      </c>
      <c r="I550" s="37"/>
      <c r="J550" s="37"/>
      <c r="K550" s="38"/>
      <c r="L550" s="38"/>
      <c r="M550" s="38"/>
      <c r="N550" s="270"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9">
      <c r="A551" s="540"/>
      <c r="B551" s="541"/>
      <c r="C551" s="541"/>
      <c r="D551" s="541"/>
      <c r="E551" s="542"/>
      <c r="F551" s="542" t="s">
        <v>188</v>
      </c>
      <c r="G551" s="186"/>
      <c r="H551" s="160" t="s">
        <v>12</v>
      </c>
      <c r="I551" s="37"/>
      <c r="J551" s="37"/>
      <c r="K551" s="38"/>
      <c r="L551" s="38"/>
      <c r="M551" s="38"/>
      <c r="N551" s="270"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9">
      <c r="A552" s="540"/>
      <c r="B552" s="541"/>
      <c r="C552" s="542"/>
      <c r="D552" s="542"/>
      <c r="E552" s="542"/>
      <c r="F552" s="542" t="s">
        <v>189</v>
      </c>
      <c r="G552" s="186"/>
      <c r="H552" s="160" t="s">
        <v>12</v>
      </c>
      <c r="I552" s="37"/>
      <c r="J552" s="37"/>
      <c r="K552" s="38"/>
      <c r="L552" s="38"/>
      <c r="M552" s="38"/>
      <c r="N552" s="270">
        <v>103147.07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9">
      <c r="A553" s="540"/>
      <c r="B553" s="541"/>
      <c r="C553" s="541"/>
      <c r="D553" s="541"/>
      <c r="E553" s="542"/>
      <c r="F553" s="542" t="s">
        <v>190</v>
      </c>
      <c r="G553" s="186"/>
      <c r="H553" s="160" t="s">
        <v>12</v>
      </c>
      <c r="I553" s="37"/>
      <c r="J553" s="37"/>
      <c r="K553" s="38"/>
      <c r="L553" s="38"/>
      <c r="M553" s="38"/>
      <c r="N553" s="270">
        <v>191611.81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9">
      <c r="A554" s="540"/>
      <c r="B554" s="541"/>
      <c r="C554" s="541"/>
      <c r="D554" s="541"/>
      <c r="E554" s="542"/>
      <c r="F554" s="542" t="s">
        <v>234</v>
      </c>
      <c r="G554" s="186"/>
      <c r="H554" s="160" t="s">
        <v>12</v>
      </c>
      <c r="I554" s="37"/>
      <c r="J554" s="37"/>
      <c r="K554" s="38"/>
      <c r="L554" s="38"/>
      <c r="M554" s="38"/>
      <c r="N554" s="270">
        <v>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9">
      <c r="A555" s="562"/>
      <c r="B555" s="541"/>
      <c r="C555" s="541"/>
      <c r="D555" s="570" t="s">
        <v>21</v>
      </c>
      <c r="E555" s="542"/>
      <c r="F555" s="542"/>
      <c r="G555" s="186"/>
      <c r="H555" s="167" t="s">
        <v>12</v>
      </c>
      <c r="I555" s="161"/>
      <c r="J555" s="161"/>
      <c r="K555" s="162"/>
      <c r="L555" s="38">
        <f t="shared" ref="L555:N555" ca="1" si="242">L556+L557</f>
        <v>0</v>
      </c>
      <c r="M555" s="38">
        <f t="shared" si="242"/>
        <v>0</v>
      </c>
      <c r="N555" s="38">
        <f t="shared" si="242"/>
        <v>0</v>
      </c>
      <c r="O555" s="38">
        <f t="shared" ref="O555:O557" ca="1" si="243">IF(L555&gt;0,N555*100/L555,0)</f>
        <v>0</v>
      </c>
      <c r="P555" s="38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9" hidden="1">
      <c r="A556" s="564"/>
      <c r="B556" s="569"/>
      <c r="C556" s="569"/>
      <c r="D556" s="565"/>
      <c r="E556" s="565" t="s">
        <v>18</v>
      </c>
      <c r="F556" s="565"/>
      <c r="G556" s="567"/>
      <c r="H556" s="164" t="s">
        <v>12</v>
      </c>
      <c r="I556" s="165"/>
      <c r="J556" s="165"/>
      <c r="K556" s="166"/>
      <c r="L556" s="45">
        <v>0</v>
      </c>
      <c r="M556" s="45">
        <v>0</v>
      </c>
      <c r="N556" s="45">
        <v>0</v>
      </c>
      <c r="O556" s="45">
        <f t="shared" si="243"/>
        <v>0</v>
      </c>
      <c r="P556" s="45">
        <f t="shared" si="244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9" hidden="1">
      <c r="A557" s="564"/>
      <c r="B557" s="569"/>
      <c r="C557" s="569"/>
      <c r="D557" s="565"/>
      <c r="E557" s="565" t="s">
        <v>19</v>
      </c>
      <c r="F557" s="565"/>
      <c r="G557" s="567"/>
      <c r="H557" s="168" t="s">
        <v>12</v>
      </c>
      <c r="I557" s="165"/>
      <c r="J557" s="165"/>
      <c r="K557" s="166"/>
      <c r="L557" s="45">
        <f ca="1">IFERROR(__xludf.DUMMYFUNCTION("IMPORTRANGE(""https://docs.google.com/spreadsheets/d/1QqKyyYR6Q21VydFLVH3TRQUabQu_ym0Zz7PgGX0-kHA/edit?usp=sharing"",""แผน!HF82"")"),0)</f>
        <v>0</v>
      </c>
      <c r="M557" s="45">
        <v>0</v>
      </c>
      <c r="N557" s="45">
        <v>0</v>
      </c>
      <c r="O557" s="45">
        <f t="shared" ca="1" si="243"/>
        <v>0</v>
      </c>
      <c r="P557" s="45">
        <f t="shared" si="244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">
      <c r="A558" s="571"/>
      <c r="B558" s="572"/>
      <c r="C558" s="541" t="s">
        <v>16</v>
      </c>
      <c r="D558" s="814" t="s">
        <v>38</v>
      </c>
      <c r="E558" s="575"/>
      <c r="F558" s="575"/>
      <c r="G558" s="576"/>
      <c r="H558" s="174"/>
      <c r="I558" s="161"/>
      <c r="J558" s="161"/>
      <c r="K558" s="162"/>
      <c r="L558" s="162"/>
      <c r="M558" s="162"/>
      <c r="N558" s="162"/>
      <c r="O558" s="162"/>
      <c r="P558" s="162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">
      <c r="A559" s="643"/>
      <c r="B559" s="644" t="s">
        <v>235</v>
      </c>
      <c r="C559" s="645"/>
      <c r="D559" s="645"/>
      <c r="E559" s="627"/>
      <c r="F559" s="627"/>
      <c r="G559" s="628"/>
      <c r="H559" s="646" t="s">
        <v>46</v>
      </c>
      <c r="I559" s="630">
        <f t="shared" ref="I559:J559" ca="1" si="245">I576</f>
        <v>36514</v>
      </c>
      <c r="J559" s="630">
        <f t="shared" si="245"/>
        <v>36514</v>
      </c>
      <c r="K559" s="631">
        <f t="shared" ref="K559:K561" ca="1" si="246">IF(I559&gt;0,J559*100/I559,0)</f>
        <v>100</v>
      </c>
      <c r="L559" s="632"/>
      <c r="M559" s="632"/>
      <c r="N559" s="632"/>
      <c r="O559" s="632"/>
      <c r="P559" s="632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">
      <c r="A560" s="571"/>
      <c r="B560" s="572"/>
      <c r="C560" s="581" t="s">
        <v>236</v>
      </c>
      <c r="D560" s="572"/>
      <c r="E560" s="184"/>
      <c r="F560" s="184"/>
      <c r="G560" s="174"/>
      <c r="H560" s="188" t="s">
        <v>46</v>
      </c>
      <c r="I560" s="189">
        <f ca="1">IFERROR(__xludf.DUMMYFUNCTION("IMPORTRANGE(""https://docs.google.com/spreadsheets/d/1QqKyyYR6Q21VydFLVH3TRQUabQu_ym0Zz7PgGX0-kHA/edit?usp=sharing"",""แผน!HH82"")"),36514)</f>
        <v>36514</v>
      </c>
      <c r="J560" s="189">
        <f t="shared" ref="J560:J561" si="247">J562+J564+J566</f>
        <v>36514.232499999998</v>
      </c>
      <c r="K560" s="391">
        <f t="shared" ca="1" si="246"/>
        <v>100.00063674207153</v>
      </c>
      <c r="L560" s="162"/>
      <c r="M560" s="162"/>
      <c r="N560" s="162"/>
      <c r="O560" s="162"/>
      <c r="P560" s="162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">
      <c r="A561" s="571"/>
      <c r="B561" s="572"/>
      <c r="C561" s="572"/>
      <c r="D561" s="184"/>
      <c r="E561" s="184"/>
      <c r="F561" s="184"/>
      <c r="G561" s="174"/>
      <c r="H561" s="188" t="s">
        <v>34</v>
      </c>
      <c r="I561" s="189">
        <f ca="1">IFERROR(__xludf.DUMMYFUNCTION("IMPORTRANGE(""https://docs.google.com/spreadsheets/d/1QqKyyYR6Q21VydFLVH3TRQUabQu_ym0Zz7PgGX0-kHA/edit?usp=sharing"",""แผน!HG82"")"),7422)</f>
        <v>7422</v>
      </c>
      <c r="J561" s="189">
        <f t="shared" si="247"/>
        <v>7422</v>
      </c>
      <c r="K561" s="391">
        <f t="shared" ca="1" si="246"/>
        <v>100</v>
      </c>
      <c r="L561" s="162"/>
      <c r="M561" s="162"/>
      <c r="N561" s="162"/>
      <c r="O561" s="162"/>
      <c r="P561" s="162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9">
      <c r="A562" s="571"/>
      <c r="B562" s="572"/>
      <c r="C562" s="572"/>
      <c r="D562" s="184" t="s">
        <v>237</v>
      </c>
      <c r="E562" s="184"/>
      <c r="F562" s="184"/>
      <c r="G562" s="174"/>
      <c r="H562" s="180" t="s">
        <v>46</v>
      </c>
      <c r="I562" s="161"/>
      <c r="J562" s="181">
        <v>31338.235000000001</v>
      </c>
      <c r="K562" s="162"/>
      <c r="L562" s="162"/>
      <c r="M562" s="162"/>
      <c r="N562" s="162"/>
      <c r="O562" s="162"/>
      <c r="P562" s="162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9">
      <c r="A563" s="571"/>
      <c r="B563" s="572"/>
      <c r="C563" s="572"/>
      <c r="D563" s="572"/>
      <c r="E563" s="184"/>
      <c r="F563" s="184"/>
      <c r="G563" s="174"/>
      <c r="H563" s="180" t="s">
        <v>34</v>
      </c>
      <c r="I563" s="161"/>
      <c r="J563" s="181">
        <v>6525</v>
      </c>
      <c r="K563" s="162"/>
      <c r="L563" s="162"/>
      <c r="M563" s="162"/>
      <c r="N563" s="162"/>
      <c r="O563" s="162"/>
      <c r="P563" s="162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9">
      <c r="A564" s="571"/>
      <c r="B564" s="572"/>
      <c r="C564" s="572"/>
      <c r="D564" s="184" t="s">
        <v>238</v>
      </c>
      <c r="E564" s="184"/>
      <c r="F564" s="184"/>
      <c r="G564" s="174"/>
      <c r="H564" s="180" t="s">
        <v>46</v>
      </c>
      <c r="I564" s="161"/>
      <c r="J564" s="181">
        <v>4457.84</v>
      </c>
      <c r="K564" s="162"/>
      <c r="L564" s="162"/>
      <c r="M564" s="162"/>
      <c r="N564" s="162"/>
      <c r="O564" s="162"/>
      <c r="P564" s="162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9">
      <c r="A565" s="571"/>
      <c r="B565" s="572"/>
      <c r="C565" s="572"/>
      <c r="D565" s="184"/>
      <c r="E565" s="184"/>
      <c r="F565" s="184"/>
      <c r="G565" s="174"/>
      <c r="H565" s="180" t="s">
        <v>34</v>
      </c>
      <c r="I565" s="161"/>
      <c r="J565" s="181">
        <v>773</v>
      </c>
      <c r="K565" s="162"/>
      <c r="L565" s="162"/>
      <c r="M565" s="162"/>
      <c r="N565" s="162"/>
      <c r="O565" s="162"/>
      <c r="P565" s="162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9">
      <c r="A566" s="571"/>
      <c r="B566" s="572"/>
      <c r="C566" s="572"/>
      <c r="D566" s="184" t="s">
        <v>239</v>
      </c>
      <c r="E566" s="184"/>
      <c r="F566" s="184"/>
      <c r="G566" s="174"/>
      <c r="H566" s="180" t="s">
        <v>46</v>
      </c>
      <c r="I566" s="161"/>
      <c r="J566" s="181">
        <v>718.15750000000003</v>
      </c>
      <c r="K566" s="162"/>
      <c r="L566" s="162"/>
      <c r="M566" s="162"/>
      <c r="N566" s="162"/>
      <c r="O566" s="162"/>
      <c r="P566" s="162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9">
      <c r="A567" s="571"/>
      <c r="B567" s="572"/>
      <c r="C567" s="572"/>
      <c r="D567" s="184"/>
      <c r="E567" s="184"/>
      <c r="F567" s="184"/>
      <c r="G567" s="174"/>
      <c r="H567" s="180" t="s">
        <v>34</v>
      </c>
      <c r="I567" s="161"/>
      <c r="J567" s="181">
        <v>124</v>
      </c>
      <c r="K567" s="162"/>
      <c r="L567" s="162"/>
      <c r="M567" s="162"/>
      <c r="N567" s="162"/>
      <c r="O567" s="162"/>
      <c r="P567" s="162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">
      <c r="A568" s="571"/>
      <c r="B568" s="572"/>
      <c r="C568" s="581" t="s">
        <v>240</v>
      </c>
      <c r="D568" s="184"/>
      <c r="E568" s="184"/>
      <c r="F568" s="184"/>
      <c r="G568" s="174"/>
      <c r="H568" s="188" t="s">
        <v>46</v>
      </c>
      <c r="I568" s="189">
        <f ca="1">IFERROR(__xludf.DUMMYFUNCTION("IMPORTRANGE(""https://docs.google.com/spreadsheets/d/1QqKyyYR6Q21VydFLVH3TRQUabQu_ym0Zz7PgGX0-kHA/edit?usp=sharing"",""แผน!HH82"")"),36514)</f>
        <v>36514</v>
      </c>
      <c r="J568" s="190">
        <f t="shared" ref="J568:J569" si="248">J570+J572+J574</f>
        <v>36514.777499999997</v>
      </c>
      <c r="K568" s="391">
        <f t="shared" ref="K568:K569" ca="1" si="249">IF(I568&gt;0,J568*100/I568,0)</f>
        <v>100.00212932026071</v>
      </c>
      <c r="L568" s="162"/>
      <c r="M568" s="162"/>
      <c r="N568" s="162"/>
      <c r="O568" s="162"/>
      <c r="P568" s="162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">
      <c r="A569" s="571"/>
      <c r="B569" s="572"/>
      <c r="C569" s="572"/>
      <c r="D569" s="572"/>
      <c r="E569" s="184"/>
      <c r="F569" s="184"/>
      <c r="G569" s="174"/>
      <c r="H569" s="188" t="s">
        <v>34</v>
      </c>
      <c r="I569" s="189">
        <f ca="1">IFERROR(__xludf.DUMMYFUNCTION("IMPORTRANGE(""https://docs.google.com/spreadsheets/d/1QqKyyYR6Q21VydFLVH3TRQUabQu_ym0Zz7PgGX0-kHA/edit?usp=sharing"",""แผน!HG82"")"),7422)</f>
        <v>7422</v>
      </c>
      <c r="J569" s="190">
        <f t="shared" si="248"/>
        <v>7422</v>
      </c>
      <c r="K569" s="391">
        <f t="shared" ca="1" si="249"/>
        <v>100</v>
      </c>
      <c r="L569" s="162"/>
      <c r="M569" s="162"/>
      <c r="N569" s="162"/>
      <c r="O569" s="162"/>
      <c r="P569" s="162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9">
      <c r="A570" s="571"/>
      <c r="B570" s="572"/>
      <c r="C570" s="572"/>
      <c r="D570" s="184" t="s">
        <v>241</v>
      </c>
      <c r="E570" s="572"/>
      <c r="F570" s="184"/>
      <c r="G570" s="174"/>
      <c r="H570" s="180" t="s">
        <v>46</v>
      </c>
      <c r="I570" s="161"/>
      <c r="J570" s="181">
        <v>33777</v>
      </c>
      <c r="K570" s="162"/>
      <c r="L570" s="162"/>
      <c r="M570" s="162"/>
      <c r="N570" s="162"/>
      <c r="O570" s="162"/>
      <c r="P570" s="162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9">
      <c r="A571" s="571"/>
      <c r="B571" s="572"/>
      <c r="C571" s="572"/>
      <c r="D571" s="572"/>
      <c r="E571" s="184"/>
      <c r="F571" s="184"/>
      <c r="G571" s="174"/>
      <c r="H571" s="180" t="s">
        <v>34</v>
      </c>
      <c r="I571" s="161"/>
      <c r="J571" s="181">
        <v>6929</v>
      </c>
      <c r="K571" s="162"/>
      <c r="L571" s="162"/>
      <c r="M571" s="162"/>
      <c r="N571" s="162"/>
      <c r="O571" s="162"/>
      <c r="P571" s="162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9">
      <c r="A572" s="571"/>
      <c r="B572" s="572"/>
      <c r="C572" s="572"/>
      <c r="D572" s="184" t="s">
        <v>242</v>
      </c>
      <c r="E572" s="184"/>
      <c r="F572" s="184"/>
      <c r="G572" s="174"/>
      <c r="H572" s="180" t="s">
        <v>46</v>
      </c>
      <c r="I572" s="161"/>
      <c r="J572" s="181">
        <v>2062</v>
      </c>
      <c r="K572" s="162"/>
      <c r="L572" s="162"/>
      <c r="M572" s="162"/>
      <c r="N572" s="162"/>
      <c r="O572" s="162"/>
      <c r="P572" s="162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9">
      <c r="A573" s="571"/>
      <c r="B573" s="572"/>
      <c r="C573" s="572"/>
      <c r="D573" s="184"/>
      <c r="E573" s="184"/>
      <c r="F573" s="184"/>
      <c r="G573" s="174"/>
      <c r="H573" s="180" t="s">
        <v>34</v>
      </c>
      <c r="I573" s="161"/>
      <c r="J573" s="181">
        <v>374</v>
      </c>
      <c r="K573" s="162"/>
      <c r="L573" s="162"/>
      <c r="M573" s="162"/>
      <c r="N573" s="162"/>
      <c r="O573" s="162"/>
      <c r="P573" s="162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9">
      <c r="A574" s="571"/>
      <c r="B574" s="572"/>
      <c r="C574" s="572"/>
      <c r="D574" s="184" t="s">
        <v>243</v>
      </c>
      <c r="E574" s="184"/>
      <c r="F574" s="184"/>
      <c r="G574" s="174"/>
      <c r="H574" s="180" t="s">
        <v>46</v>
      </c>
      <c r="I574" s="161"/>
      <c r="J574" s="181">
        <v>675.77750000000003</v>
      </c>
      <c r="K574" s="162"/>
      <c r="L574" s="162"/>
      <c r="M574" s="162"/>
      <c r="N574" s="162"/>
      <c r="O574" s="162"/>
      <c r="P574" s="162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9">
      <c r="A575" s="571"/>
      <c r="B575" s="572"/>
      <c r="C575" s="572"/>
      <c r="D575" s="572"/>
      <c r="E575" s="184"/>
      <c r="F575" s="184"/>
      <c r="G575" s="174"/>
      <c r="H575" s="180" t="s">
        <v>34</v>
      </c>
      <c r="I575" s="161"/>
      <c r="J575" s="181">
        <v>119</v>
      </c>
      <c r="K575" s="162"/>
      <c r="L575" s="162"/>
      <c r="M575" s="162"/>
      <c r="N575" s="162"/>
      <c r="O575" s="162"/>
      <c r="P575" s="162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">
      <c r="A576" s="571"/>
      <c r="B576" s="572"/>
      <c r="C576" s="581" t="s">
        <v>244</v>
      </c>
      <c r="D576" s="572"/>
      <c r="E576" s="572"/>
      <c r="F576" s="184"/>
      <c r="G576" s="174"/>
      <c r="H576" s="188" t="s">
        <v>46</v>
      </c>
      <c r="I576" s="189">
        <f ca="1">IFERROR(__xludf.DUMMYFUNCTION("IMPORTRANGE(""https://docs.google.com/spreadsheets/d/1QqKyyYR6Q21VydFLVH3TRQUabQu_ym0Zz7PgGX0-kHA/edit?usp=sharing"",""แผน!HH82"")"),36514)</f>
        <v>36514</v>
      </c>
      <c r="J576" s="190">
        <f t="shared" ref="J576:J577" si="250">J578+J580+J582+J588+J590</f>
        <v>36514</v>
      </c>
      <c r="K576" s="391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">
      <c r="A577" s="571"/>
      <c r="B577" s="572"/>
      <c r="C577" s="572"/>
      <c r="D577" s="572"/>
      <c r="E577" s="184"/>
      <c r="F577" s="184"/>
      <c r="G577" s="174"/>
      <c r="H577" s="188" t="s">
        <v>34</v>
      </c>
      <c r="I577" s="189">
        <f ca="1">IFERROR(__xludf.DUMMYFUNCTION("IMPORTRANGE(""https://docs.google.com/spreadsheets/d/1QqKyyYR6Q21VydFLVH3TRQUabQu_ym0Zz7PgGX0-kHA/edit?usp=sharing"",""แผน!HG82"")"),7422)</f>
        <v>7422</v>
      </c>
      <c r="J577" s="190">
        <f t="shared" si="250"/>
        <v>7422</v>
      </c>
      <c r="K577" s="391">
        <f t="shared" ca="1" si="251"/>
        <v>100</v>
      </c>
      <c r="L577" s="162"/>
      <c r="M577" s="162"/>
      <c r="N577" s="162"/>
      <c r="O577" s="162"/>
      <c r="P577" s="162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9">
      <c r="A578" s="571"/>
      <c r="B578" s="572"/>
      <c r="C578" s="572"/>
      <c r="D578" s="184" t="s">
        <v>245</v>
      </c>
      <c r="E578" s="184"/>
      <c r="F578" s="184"/>
      <c r="G578" s="174"/>
      <c r="H578" s="180" t="s">
        <v>46</v>
      </c>
      <c r="I578" s="161"/>
      <c r="J578" s="181">
        <v>35290</v>
      </c>
      <c r="K578" s="162"/>
      <c r="L578" s="162"/>
      <c r="M578" s="162"/>
      <c r="N578" s="162"/>
      <c r="O578" s="162"/>
      <c r="P578" s="162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9">
      <c r="A579" s="571"/>
      <c r="B579" s="572"/>
      <c r="C579" s="572"/>
      <c r="D579" s="572"/>
      <c r="E579" s="184"/>
      <c r="F579" s="184"/>
      <c r="G579" s="174"/>
      <c r="H579" s="180" t="s">
        <v>34</v>
      </c>
      <c r="I579" s="161"/>
      <c r="J579" s="181">
        <v>7191</v>
      </c>
      <c r="K579" s="162"/>
      <c r="L579" s="162"/>
      <c r="M579" s="162"/>
      <c r="N579" s="162"/>
      <c r="O579" s="162"/>
      <c r="P579" s="162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9">
      <c r="A580" s="571"/>
      <c r="B580" s="572"/>
      <c r="C580" s="572"/>
      <c r="D580" s="184" t="s">
        <v>246</v>
      </c>
      <c r="E580" s="184"/>
      <c r="F580" s="184"/>
      <c r="G580" s="174"/>
      <c r="H580" s="180" t="s">
        <v>46</v>
      </c>
      <c r="I580" s="161"/>
      <c r="J580" s="181">
        <v>10</v>
      </c>
      <c r="K580" s="162"/>
      <c r="L580" s="162"/>
      <c r="M580" s="162"/>
      <c r="N580" s="162"/>
      <c r="O580" s="162"/>
      <c r="P580" s="162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9">
      <c r="A581" s="571"/>
      <c r="B581" s="572"/>
      <c r="C581" s="572"/>
      <c r="D581" s="572"/>
      <c r="E581" s="184"/>
      <c r="F581" s="184"/>
      <c r="G581" s="174"/>
      <c r="H581" s="180" t="s">
        <v>34</v>
      </c>
      <c r="I581" s="161"/>
      <c r="J581" s="181">
        <v>6</v>
      </c>
      <c r="K581" s="162"/>
      <c r="L581" s="162"/>
      <c r="M581" s="162"/>
      <c r="N581" s="162"/>
      <c r="O581" s="162"/>
      <c r="P581" s="162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">
      <c r="A582" s="571"/>
      <c r="B582" s="572"/>
      <c r="C582" s="572"/>
      <c r="D582" s="184" t="s">
        <v>247</v>
      </c>
      <c r="E582" s="184"/>
      <c r="F582" s="184"/>
      <c r="G582" s="174"/>
      <c r="H582" s="180" t="s">
        <v>46</v>
      </c>
      <c r="I582" s="161"/>
      <c r="J582" s="190">
        <f t="shared" ref="J582:J583" si="252">J584+J586</f>
        <v>688</v>
      </c>
      <c r="K582" s="391"/>
      <c r="L582" s="162"/>
      <c r="M582" s="162"/>
      <c r="N582" s="162"/>
      <c r="O582" s="162"/>
      <c r="P582" s="162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">
      <c r="A583" s="571"/>
      <c r="B583" s="572"/>
      <c r="C583" s="572"/>
      <c r="D583" s="572"/>
      <c r="E583" s="184"/>
      <c r="F583" s="184"/>
      <c r="G583" s="174"/>
      <c r="H583" s="180" t="s">
        <v>34</v>
      </c>
      <c r="I583" s="161"/>
      <c r="J583" s="190">
        <f t="shared" si="252"/>
        <v>124</v>
      </c>
      <c r="K583" s="391"/>
      <c r="L583" s="162"/>
      <c r="M583" s="162"/>
      <c r="N583" s="162"/>
      <c r="O583" s="162"/>
      <c r="P583" s="162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9">
      <c r="A584" s="571"/>
      <c r="B584" s="572"/>
      <c r="C584" s="572"/>
      <c r="D584" s="572"/>
      <c r="E584" s="184" t="s">
        <v>248</v>
      </c>
      <c r="F584" s="184"/>
      <c r="G584" s="174"/>
      <c r="H584" s="180" t="s">
        <v>46</v>
      </c>
      <c r="I584" s="161"/>
      <c r="J584" s="181">
        <v>688</v>
      </c>
      <c r="K584" s="162"/>
      <c r="L584" s="162"/>
      <c r="M584" s="162"/>
      <c r="N584" s="162"/>
      <c r="O584" s="162"/>
      <c r="P584" s="162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9">
      <c r="A585" s="571"/>
      <c r="B585" s="572"/>
      <c r="C585" s="572"/>
      <c r="D585" s="572"/>
      <c r="E585" s="184"/>
      <c r="F585" s="184"/>
      <c r="G585" s="174"/>
      <c r="H585" s="180" t="s">
        <v>34</v>
      </c>
      <c r="I585" s="161"/>
      <c r="J585" s="181">
        <v>124</v>
      </c>
      <c r="K585" s="162"/>
      <c r="L585" s="162"/>
      <c r="M585" s="162"/>
      <c r="N585" s="162"/>
      <c r="O585" s="162"/>
      <c r="P585" s="162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9">
      <c r="A586" s="571"/>
      <c r="B586" s="572"/>
      <c r="C586" s="572"/>
      <c r="D586" s="572"/>
      <c r="E586" s="184" t="s">
        <v>249</v>
      </c>
      <c r="F586" s="184"/>
      <c r="G586" s="174"/>
      <c r="H586" s="180" t="s">
        <v>46</v>
      </c>
      <c r="I586" s="161"/>
      <c r="J586" s="181">
        <v>0</v>
      </c>
      <c r="K586" s="162"/>
      <c r="L586" s="162"/>
      <c r="M586" s="162"/>
      <c r="N586" s="162"/>
      <c r="O586" s="162"/>
      <c r="P586" s="162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9">
      <c r="A587" s="571"/>
      <c r="B587" s="572"/>
      <c r="C587" s="572"/>
      <c r="D587" s="572"/>
      <c r="E587" s="572"/>
      <c r="F587" s="184"/>
      <c r="G587" s="174"/>
      <c r="H587" s="180" t="s">
        <v>34</v>
      </c>
      <c r="I587" s="161"/>
      <c r="J587" s="181">
        <v>0</v>
      </c>
      <c r="K587" s="162"/>
      <c r="L587" s="162"/>
      <c r="M587" s="162"/>
      <c r="N587" s="162"/>
      <c r="O587" s="162"/>
      <c r="P587" s="162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9">
      <c r="A588" s="571"/>
      <c r="B588" s="572"/>
      <c r="C588" s="572"/>
      <c r="D588" s="184" t="s">
        <v>250</v>
      </c>
      <c r="E588" s="184"/>
      <c r="F588" s="184"/>
      <c r="G588" s="174"/>
      <c r="H588" s="180" t="s">
        <v>46</v>
      </c>
      <c r="I588" s="161"/>
      <c r="J588" s="181">
        <v>526</v>
      </c>
      <c r="K588" s="162"/>
      <c r="L588" s="162"/>
      <c r="M588" s="162"/>
      <c r="N588" s="162"/>
      <c r="O588" s="162"/>
      <c r="P588" s="162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9">
      <c r="A589" s="571"/>
      <c r="B589" s="572"/>
      <c r="C589" s="572"/>
      <c r="D589" s="572"/>
      <c r="E589" s="572"/>
      <c r="F589" s="184"/>
      <c r="G589" s="174"/>
      <c r="H589" s="180" t="s">
        <v>34</v>
      </c>
      <c r="I589" s="161"/>
      <c r="J589" s="181">
        <v>101</v>
      </c>
      <c r="K589" s="162"/>
      <c r="L589" s="162"/>
      <c r="M589" s="162"/>
      <c r="N589" s="162"/>
      <c r="O589" s="162"/>
      <c r="P589" s="162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9">
      <c r="A590" s="571"/>
      <c r="B590" s="572"/>
      <c r="C590" s="572"/>
      <c r="D590" s="184" t="s">
        <v>251</v>
      </c>
      <c r="E590" s="184"/>
      <c r="F590" s="184"/>
      <c r="G590" s="174"/>
      <c r="H590" s="180" t="s">
        <v>46</v>
      </c>
      <c r="I590" s="161"/>
      <c r="J590" s="181">
        <v>0</v>
      </c>
      <c r="K590" s="162"/>
      <c r="L590" s="162"/>
      <c r="M590" s="162"/>
      <c r="N590" s="162"/>
      <c r="O590" s="162"/>
      <c r="P590" s="162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9">
      <c r="A591" s="647"/>
      <c r="B591" s="648"/>
      <c r="C591" s="648"/>
      <c r="D591" s="648"/>
      <c r="E591" s="543"/>
      <c r="F591" s="543"/>
      <c r="G591" s="649"/>
      <c r="H591" s="650" t="s">
        <v>34</v>
      </c>
      <c r="I591" s="651"/>
      <c r="J591" s="652">
        <v>0</v>
      </c>
      <c r="K591" s="653"/>
      <c r="L591" s="653"/>
      <c r="M591" s="653"/>
      <c r="N591" s="653"/>
      <c r="O591" s="653"/>
      <c r="P591" s="653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">
      <c r="A592" s="643"/>
      <c r="B592" s="644" t="s">
        <v>252</v>
      </c>
      <c r="C592" s="645"/>
      <c r="D592" s="645"/>
      <c r="E592" s="627"/>
      <c r="F592" s="627"/>
      <c r="G592" s="628"/>
      <c r="H592" s="646" t="s">
        <v>46</v>
      </c>
      <c r="I592" s="654">
        <f t="shared" ref="I592:J592" ca="1" si="253">I593</f>
        <v>2370.63</v>
      </c>
      <c r="J592" s="630">
        <f t="shared" si="253"/>
        <v>0</v>
      </c>
      <c r="K592" s="631">
        <f t="shared" ref="K592:K594" ca="1" si="254">IF(I592&gt;0,J592*100/I592,0)</f>
        <v>0</v>
      </c>
      <c r="L592" s="632"/>
      <c r="M592" s="632"/>
      <c r="N592" s="632"/>
      <c r="O592" s="632"/>
      <c r="P592" s="632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">
      <c r="A593" s="571"/>
      <c r="B593" s="572"/>
      <c r="C593" s="581" t="s">
        <v>253</v>
      </c>
      <c r="D593" s="572"/>
      <c r="E593" s="572"/>
      <c r="F593" s="184"/>
      <c r="G593" s="174"/>
      <c r="H593" s="188" t="s">
        <v>46</v>
      </c>
      <c r="I593" s="655">
        <f ca="1">IFERROR(__xludf.DUMMYFUNCTION("IMPORTRANGE(""https://docs.google.com/spreadsheets/d/1QqKyyYR6Q21VydFLVH3TRQUabQu_ym0Zz7PgGX0-kHA/edit?usp=sharing"",""แผน!HJ82"")"),2370.63)</f>
        <v>2370.63</v>
      </c>
      <c r="J593" s="189">
        <f t="shared" ref="J593:J594" si="255">J595+J603+J609</f>
        <v>0</v>
      </c>
      <c r="K593" s="391">
        <f t="shared" ca="1" si="254"/>
        <v>0</v>
      </c>
      <c r="L593" s="162"/>
      <c r="M593" s="162"/>
      <c r="N593" s="162"/>
      <c r="O593" s="162"/>
      <c r="P593" s="162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">
      <c r="A594" s="571"/>
      <c r="B594" s="572"/>
      <c r="C594" s="572"/>
      <c r="D594" s="572"/>
      <c r="E594" s="184"/>
      <c r="F594" s="184"/>
      <c r="G594" s="174"/>
      <c r="H594" s="188" t="s">
        <v>34</v>
      </c>
      <c r="I594" s="189">
        <f ca="1">IFERROR(__xludf.DUMMYFUNCTION("IMPORTRANGE(""https://docs.google.com/spreadsheets/d/1QqKyyYR6Q21VydFLVH3TRQUabQu_ym0Zz7PgGX0-kHA/edit?usp=sharing"",""แผน!HI82"")"),404)</f>
        <v>404</v>
      </c>
      <c r="J594" s="189">
        <f t="shared" si="255"/>
        <v>28</v>
      </c>
      <c r="K594" s="391">
        <f t="shared" ca="1" si="254"/>
        <v>6.9306930693069306</v>
      </c>
      <c r="L594" s="162"/>
      <c r="M594" s="162"/>
      <c r="N594" s="162"/>
      <c r="O594" s="162"/>
      <c r="P594" s="162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9">
      <c r="A595" s="571"/>
      <c r="B595" s="572"/>
      <c r="C595" s="572" t="s">
        <v>254</v>
      </c>
      <c r="D595" s="572"/>
      <c r="E595" s="572"/>
      <c r="F595" s="184"/>
      <c r="G595" s="174"/>
      <c r="H595" s="180" t="s">
        <v>46</v>
      </c>
      <c r="I595" s="161"/>
      <c r="J595" s="161">
        <f t="shared" ref="J595:J596" si="256">J597+J599</f>
        <v>0</v>
      </c>
      <c r="K595" s="162"/>
      <c r="L595" s="162"/>
      <c r="M595" s="162"/>
      <c r="N595" s="162"/>
      <c r="O595" s="162"/>
      <c r="P595" s="162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9">
      <c r="A596" s="571"/>
      <c r="B596" s="572"/>
      <c r="C596" s="572"/>
      <c r="D596" s="572"/>
      <c r="E596" s="184"/>
      <c r="F596" s="184"/>
      <c r="G596" s="174"/>
      <c r="H596" s="180" t="s">
        <v>34</v>
      </c>
      <c r="I596" s="161"/>
      <c r="J596" s="161">
        <f t="shared" si="256"/>
        <v>26</v>
      </c>
      <c r="K596" s="162"/>
      <c r="L596" s="162"/>
      <c r="M596" s="162"/>
      <c r="N596" s="162"/>
      <c r="O596" s="162"/>
      <c r="P596" s="162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9">
      <c r="A597" s="571"/>
      <c r="B597" s="572"/>
      <c r="C597" s="572"/>
      <c r="D597" s="252" t="s">
        <v>255</v>
      </c>
      <c r="E597" s="184"/>
      <c r="F597" s="184"/>
      <c r="G597" s="174"/>
      <c r="H597" s="180" t="s">
        <v>46</v>
      </c>
      <c r="I597" s="161"/>
      <c r="J597" s="181">
        <v>0</v>
      </c>
      <c r="K597" s="162"/>
      <c r="L597" s="162"/>
      <c r="M597" s="162"/>
      <c r="N597" s="162"/>
      <c r="O597" s="162"/>
      <c r="P597" s="162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9">
      <c r="A598" s="571"/>
      <c r="B598" s="572"/>
      <c r="C598" s="572"/>
      <c r="D598" s="572"/>
      <c r="E598" s="184"/>
      <c r="F598" s="184"/>
      <c r="G598" s="174"/>
      <c r="H598" s="180" t="s">
        <v>34</v>
      </c>
      <c r="I598" s="37"/>
      <c r="J598" s="181">
        <v>24</v>
      </c>
      <c r="K598" s="162"/>
      <c r="L598" s="162"/>
      <c r="M598" s="162"/>
      <c r="N598" s="162"/>
      <c r="O598" s="162"/>
      <c r="P598" s="162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9">
      <c r="A599" s="571"/>
      <c r="B599" s="572"/>
      <c r="C599" s="572"/>
      <c r="D599" s="252" t="s">
        <v>256</v>
      </c>
      <c r="E599" s="184"/>
      <c r="F599" s="184"/>
      <c r="G599" s="174"/>
      <c r="H599" s="180" t="s">
        <v>46</v>
      </c>
      <c r="I599" s="37"/>
      <c r="J599" s="181">
        <v>0</v>
      </c>
      <c r="K599" s="162"/>
      <c r="L599" s="162"/>
      <c r="M599" s="162"/>
      <c r="N599" s="162"/>
      <c r="O599" s="162"/>
      <c r="P599" s="162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9">
      <c r="A600" s="571"/>
      <c r="B600" s="572"/>
      <c r="C600" s="572"/>
      <c r="D600" s="572"/>
      <c r="E600" s="184"/>
      <c r="F600" s="184"/>
      <c r="G600" s="174"/>
      <c r="H600" s="180" t="s">
        <v>34</v>
      </c>
      <c r="I600" s="37"/>
      <c r="J600" s="181">
        <v>2</v>
      </c>
      <c r="K600" s="162"/>
      <c r="L600" s="162"/>
      <c r="M600" s="162"/>
      <c r="N600" s="162"/>
      <c r="O600" s="162"/>
      <c r="P600" s="162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9">
      <c r="A601" s="571"/>
      <c r="B601" s="572"/>
      <c r="C601" s="572"/>
      <c r="D601" s="252" t="s">
        <v>257</v>
      </c>
      <c r="E601" s="184"/>
      <c r="F601" s="184"/>
      <c r="G601" s="174"/>
      <c r="H601" s="180" t="s">
        <v>46</v>
      </c>
      <c r="I601" s="37"/>
      <c r="J601" s="181">
        <v>0</v>
      </c>
      <c r="K601" s="162"/>
      <c r="L601" s="162"/>
      <c r="M601" s="162"/>
      <c r="N601" s="162"/>
      <c r="O601" s="162"/>
      <c r="P601" s="162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9">
      <c r="A602" s="571"/>
      <c r="B602" s="572"/>
      <c r="C602" s="572"/>
      <c r="D602" s="572"/>
      <c r="E602" s="184"/>
      <c r="F602" s="184"/>
      <c r="G602" s="174"/>
      <c r="H602" s="180" t="s">
        <v>34</v>
      </c>
      <c r="I602" s="37"/>
      <c r="J602" s="181">
        <v>0</v>
      </c>
      <c r="K602" s="162"/>
      <c r="L602" s="162"/>
      <c r="M602" s="162"/>
      <c r="N602" s="162"/>
      <c r="O602" s="162"/>
      <c r="P602" s="162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9">
      <c r="A603" s="571"/>
      <c r="B603" s="572"/>
      <c r="C603" s="656" t="s">
        <v>258</v>
      </c>
      <c r="D603" s="572"/>
      <c r="E603" s="572"/>
      <c r="F603" s="184"/>
      <c r="G603" s="174"/>
      <c r="H603" s="180" t="s">
        <v>46</v>
      </c>
      <c r="I603" s="37"/>
      <c r="J603" s="37">
        <f t="shared" ref="J603:J604" si="257">J605+J607</f>
        <v>0</v>
      </c>
      <c r="K603" s="162"/>
      <c r="L603" s="162"/>
      <c r="M603" s="162"/>
      <c r="N603" s="162"/>
      <c r="O603" s="162"/>
      <c r="P603" s="162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9">
      <c r="A604" s="571"/>
      <c r="B604" s="572"/>
      <c r="C604" s="572"/>
      <c r="D604" s="572"/>
      <c r="E604" s="184"/>
      <c r="F604" s="184"/>
      <c r="G604" s="174"/>
      <c r="H604" s="180" t="s">
        <v>34</v>
      </c>
      <c r="I604" s="37"/>
      <c r="J604" s="37">
        <f t="shared" si="257"/>
        <v>2</v>
      </c>
      <c r="K604" s="162"/>
      <c r="L604" s="162"/>
      <c r="M604" s="162"/>
      <c r="N604" s="162"/>
      <c r="O604" s="162"/>
      <c r="P604" s="162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9">
      <c r="A605" s="571"/>
      <c r="B605" s="572"/>
      <c r="C605" s="572"/>
      <c r="D605" s="656" t="s">
        <v>259</v>
      </c>
      <c r="E605" s="184"/>
      <c r="F605" s="184"/>
      <c r="G605" s="174"/>
      <c r="H605" s="180" t="s">
        <v>46</v>
      </c>
      <c r="I605" s="37"/>
      <c r="J605" s="181">
        <v>0</v>
      </c>
      <c r="K605" s="162"/>
      <c r="L605" s="162"/>
      <c r="M605" s="162"/>
      <c r="N605" s="162"/>
      <c r="O605" s="162"/>
      <c r="P605" s="162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9">
      <c r="A606" s="571"/>
      <c r="B606" s="572"/>
      <c r="C606" s="572"/>
      <c r="D606" s="572"/>
      <c r="E606" s="572"/>
      <c r="F606" s="184"/>
      <c r="G606" s="174"/>
      <c r="H606" s="180" t="s">
        <v>34</v>
      </c>
      <c r="I606" s="37"/>
      <c r="J606" s="181">
        <v>2</v>
      </c>
      <c r="K606" s="162"/>
      <c r="L606" s="162"/>
      <c r="M606" s="162"/>
      <c r="N606" s="162"/>
      <c r="O606" s="162"/>
      <c r="P606" s="162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9">
      <c r="A607" s="571"/>
      <c r="B607" s="572"/>
      <c r="C607" s="572"/>
      <c r="D607" s="656" t="s">
        <v>260</v>
      </c>
      <c r="E607" s="572"/>
      <c r="F607" s="184"/>
      <c r="G607" s="174"/>
      <c r="H607" s="180" t="s">
        <v>46</v>
      </c>
      <c r="I607" s="37"/>
      <c r="J607" s="181">
        <v>0</v>
      </c>
      <c r="K607" s="162"/>
      <c r="L607" s="162"/>
      <c r="M607" s="162"/>
      <c r="N607" s="162"/>
      <c r="O607" s="162"/>
      <c r="P607" s="162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9">
      <c r="A608" s="571"/>
      <c r="B608" s="572"/>
      <c r="C608" s="572"/>
      <c r="D608" s="572"/>
      <c r="E608" s="184"/>
      <c r="F608" s="184"/>
      <c r="G608" s="174"/>
      <c r="H608" s="180" t="s">
        <v>34</v>
      </c>
      <c r="I608" s="37"/>
      <c r="J608" s="181">
        <v>0</v>
      </c>
      <c r="K608" s="162"/>
      <c r="L608" s="162"/>
      <c r="M608" s="162"/>
      <c r="N608" s="162"/>
      <c r="O608" s="162"/>
      <c r="P608" s="162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9">
      <c r="A609" s="571"/>
      <c r="B609" s="572"/>
      <c r="C609" s="572" t="s">
        <v>261</v>
      </c>
      <c r="D609" s="572"/>
      <c r="E609" s="572"/>
      <c r="F609" s="184"/>
      <c r="G609" s="174"/>
      <c r="H609" s="180" t="s">
        <v>46</v>
      </c>
      <c r="I609" s="37"/>
      <c r="J609" s="181">
        <v>0</v>
      </c>
      <c r="K609" s="162"/>
      <c r="L609" s="162"/>
      <c r="M609" s="162"/>
      <c r="N609" s="162"/>
      <c r="O609" s="162"/>
      <c r="P609" s="162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9">
      <c r="A610" s="571"/>
      <c r="B610" s="572"/>
      <c r="C610" s="572"/>
      <c r="D610" s="572"/>
      <c r="E610" s="184"/>
      <c r="F610" s="184"/>
      <c r="G610" s="174"/>
      <c r="H610" s="180" t="s">
        <v>34</v>
      </c>
      <c r="I610" s="37"/>
      <c r="J610" s="181">
        <v>0</v>
      </c>
      <c r="K610" s="162"/>
      <c r="L610" s="162"/>
      <c r="M610" s="162"/>
      <c r="N610" s="162"/>
      <c r="O610" s="162"/>
      <c r="P610" s="162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">
      <c r="A611" s="643"/>
      <c r="B611" s="657" t="s">
        <v>262</v>
      </c>
      <c r="C611" s="645"/>
      <c r="D611" s="645"/>
      <c r="E611" s="627"/>
      <c r="F611" s="627"/>
      <c r="G611" s="628"/>
      <c r="H611" s="658" t="s">
        <v>46</v>
      </c>
      <c r="I611" s="630">
        <v>0</v>
      </c>
      <c r="J611" s="630">
        <f>J614+J616</f>
        <v>0</v>
      </c>
      <c r="K611" s="631">
        <f t="shared" ref="K611:K613" si="258">IF(I611&gt;0,J611*100/I611,0)</f>
        <v>0</v>
      </c>
      <c r="L611" s="632"/>
      <c r="M611" s="632"/>
      <c r="N611" s="632"/>
      <c r="O611" s="632"/>
      <c r="P611" s="632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" hidden="1">
      <c r="A612" s="659"/>
      <c r="B612" s="660"/>
      <c r="C612" s="661" t="s">
        <v>263</v>
      </c>
      <c r="D612" s="660"/>
      <c r="E612" s="660"/>
      <c r="F612" s="662"/>
      <c r="G612" s="663"/>
      <c r="H612" s="664" t="s">
        <v>46</v>
      </c>
      <c r="I612" s="665">
        <v>0</v>
      </c>
      <c r="J612" s="665">
        <f t="shared" ref="J612:J613" si="259">J614+J616</f>
        <v>0</v>
      </c>
      <c r="K612" s="666">
        <f t="shared" si="258"/>
        <v>0</v>
      </c>
      <c r="L612" s="667"/>
      <c r="M612" s="667"/>
      <c r="N612" s="667"/>
      <c r="O612" s="667"/>
      <c r="P612" s="667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" hidden="1">
      <c r="A613" s="659"/>
      <c r="B613" s="660"/>
      <c r="C613" s="660" t="s">
        <v>264</v>
      </c>
      <c r="D613" s="660"/>
      <c r="E613" s="660"/>
      <c r="F613" s="662"/>
      <c r="G613" s="663"/>
      <c r="H613" s="664" t="s">
        <v>34</v>
      </c>
      <c r="I613" s="665">
        <v>0</v>
      </c>
      <c r="J613" s="665">
        <f t="shared" si="259"/>
        <v>0</v>
      </c>
      <c r="K613" s="666">
        <f t="shared" si="258"/>
        <v>0</v>
      </c>
      <c r="L613" s="667"/>
      <c r="M613" s="667"/>
      <c r="N613" s="667"/>
      <c r="O613" s="667"/>
      <c r="P613" s="667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9" hidden="1">
      <c r="A614" s="577"/>
      <c r="B614" s="578"/>
      <c r="C614" s="578"/>
      <c r="D614" s="566" t="s">
        <v>265</v>
      </c>
      <c r="E614" s="578"/>
      <c r="F614" s="566"/>
      <c r="G614" s="351"/>
      <c r="H614" s="354" t="s">
        <v>46</v>
      </c>
      <c r="I614" s="44"/>
      <c r="J614" s="44">
        <v>0</v>
      </c>
      <c r="K614" s="166"/>
      <c r="L614" s="166"/>
      <c r="M614" s="166"/>
      <c r="N614" s="166"/>
      <c r="O614" s="166"/>
      <c r="P614" s="166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9" hidden="1">
      <c r="A615" s="577"/>
      <c r="B615" s="578"/>
      <c r="C615" s="578"/>
      <c r="D615" s="578"/>
      <c r="E615" s="578"/>
      <c r="F615" s="566"/>
      <c r="G615" s="351"/>
      <c r="H615" s="354" t="s">
        <v>34</v>
      </c>
      <c r="I615" s="44"/>
      <c r="J615" s="44">
        <v>0</v>
      </c>
      <c r="K615" s="166"/>
      <c r="L615" s="166"/>
      <c r="M615" s="166"/>
      <c r="N615" s="166"/>
      <c r="O615" s="166"/>
      <c r="P615" s="166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9" hidden="1">
      <c r="A616" s="577"/>
      <c r="B616" s="578"/>
      <c r="C616" s="578"/>
      <c r="D616" s="668" t="s">
        <v>265</v>
      </c>
      <c r="E616" s="566"/>
      <c r="F616" s="566"/>
      <c r="G616" s="351"/>
      <c r="H616" s="354" t="s">
        <v>46</v>
      </c>
      <c r="I616" s="44"/>
      <c r="J616" s="44">
        <v>0</v>
      </c>
      <c r="K616" s="166"/>
      <c r="L616" s="166"/>
      <c r="M616" s="166"/>
      <c r="N616" s="166"/>
      <c r="O616" s="166"/>
      <c r="P616" s="166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9" hidden="1">
      <c r="A617" s="577"/>
      <c r="B617" s="578"/>
      <c r="C617" s="578"/>
      <c r="D617" s="578"/>
      <c r="E617" s="566"/>
      <c r="F617" s="566"/>
      <c r="G617" s="351"/>
      <c r="H617" s="354" t="s">
        <v>34</v>
      </c>
      <c r="I617" s="44"/>
      <c r="J617" s="44">
        <v>0</v>
      </c>
      <c r="K617" s="166"/>
      <c r="L617" s="166"/>
      <c r="M617" s="166"/>
      <c r="N617" s="166"/>
      <c r="O617" s="166"/>
      <c r="P617" s="166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9" hidden="1">
      <c r="A618" s="577"/>
      <c r="B618" s="578"/>
      <c r="C618" s="578"/>
      <c r="D618" s="668" t="s">
        <v>266</v>
      </c>
      <c r="E618" s="566"/>
      <c r="F618" s="566"/>
      <c r="G618" s="351"/>
      <c r="H618" s="354" t="s">
        <v>46</v>
      </c>
      <c r="I618" s="44"/>
      <c r="J618" s="44">
        <v>0</v>
      </c>
      <c r="K618" s="166"/>
      <c r="L618" s="166"/>
      <c r="M618" s="166"/>
      <c r="N618" s="166"/>
      <c r="O618" s="166"/>
      <c r="P618" s="166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9" hidden="1">
      <c r="A619" s="577"/>
      <c r="B619" s="578"/>
      <c r="C619" s="578"/>
      <c r="D619" s="578"/>
      <c r="E619" s="566"/>
      <c r="F619" s="566"/>
      <c r="G619" s="351"/>
      <c r="H619" s="354" t="s">
        <v>34</v>
      </c>
      <c r="I619" s="44"/>
      <c r="J619" s="44">
        <v>0</v>
      </c>
      <c r="K619" s="166"/>
      <c r="L619" s="166"/>
      <c r="M619" s="166"/>
      <c r="N619" s="166"/>
      <c r="O619" s="166"/>
      <c r="P619" s="166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">
      <c r="A620" s="669"/>
      <c r="B620" s="670"/>
      <c r="C620" s="671" t="s">
        <v>267</v>
      </c>
      <c r="D620" s="670"/>
      <c r="E620" s="670"/>
      <c r="F620" s="672"/>
      <c r="G620" s="673"/>
      <c r="H620" s="674" t="s">
        <v>46</v>
      </c>
      <c r="I620" s="675">
        <f ca="1">IFERROR(__xludf.DUMMYFUNCTION("IMPORTRANGE(""https://docs.google.com/spreadsheets/d/1QqKyyYR6Q21VydFLVH3TRQUabQu_ym0Zz7PgGX0-kHA/edit?usp=sharing"",""แผน!HL82"")"),13)</f>
        <v>13</v>
      </c>
      <c r="J620" s="675">
        <f t="shared" ref="J620:J621" si="260">J622+J624+J626</f>
        <v>13</v>
      </c>
      <c r="K620" s="676">
        <f t="shared" ref="K620:K621" ca="1" si="261">IF(I620&gt;0,J620*100/I620,0)</f>
        <v>100</v>
      </c>
      <c r="L620" s="677"/>
      <c r="M620" s="677"/>
      <c r="N620" s="677"/>
      <c r="O620" s="677"/>
      <c r="P620" s="67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">
      <c r="A621" s="669"/>
      <c r="B621" s="670"/>
      <c r="C621" s="670" t="s">
        <v>268</v>
      </c>
      <c r="D621" s="670"/>
      <c r="E621" s="670"/>
      <c r="F621" s="672"/>
      <c r="G621" s="673"/>
      <c r="H621" s="674" t="s">
        <v>34</v>
      </c>
      <c r="I621" s="675">
        <f ca="1">IFERROR(__xludf.DUMMYFUNCTION("IMPORTRANGE(""https://docs.google.com/spreadsheets/d/1QqKyyYR6Q21VydFLVH3TRQUabQu_ym0Zz7PgGX0-kHA/edit?usp=sharing"",""แผน!HK82"")"),4)</f>
        <v>4</v>
      </c>
      <c r="J621" s="675">
        <f t="shared" si="260"/>
        <v>4</v>
      </c>
      <c r="K621" s="676">
        <f t="shared" ca="1" si="261"/>
        <v>100</v>
      </c>
      <c r="L621" s="677"/>
      <c r="M621" s="677"/>
      <c r="N621" s="677"/>
      <c r="O621" s="677"/>
      <c r="P621" s="67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9">
      <c r="A622" s="571"/>
      <c r="B622" s="572"/>
      <c r="C622" s="572"/>
      <c r="D622" s="252" t="s">
        <v>269</v>
      </c>
      <c r="E622" s="184"/>
      <c r="F622" s="184"/>
      <c r="G622" s="174"/>
      <c r="H622" s="180" t="s">
        <v>46</v>
      </c>
      <c r="I622" s="37"/>
      <c r="J622" s="181">
        <v>12</v>
      </c>
      <c r="K622" s="162"/>
      <c r="L622" s="162"/>
      <c r="M622" s="162"/>
      <c r="N622" s="162"/>
      <c r="O622" s="162"/>
      <c r="P622" s="162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9">
      <c r="A623" s="571"/>
      <c r="B623" s="572"/>
      <c r="C623" s="572"/>
      <c r="D623" s="572"/>
      <c r="E623" s="184"/>
      <c r="F623" s="184"/>
      <c r="G623" s="174"/>
      <c r="H623" s="180" t="s">
        <v>34</v>
      </c>
      <c r="I623" s="37"/>
      <c r="J623" s="181">
        <v>3</v>
      </c>
      <c r="K623" s="162"/>
      <c r="L623" s="162"/>
      <c r="M623" s="162"/>
      <c r="N623" s="162"/>
      <c r="O623" s="162"/>
      <c r="P623" s="162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9">
      <c r="A624" s="571"/>
      <c r="B624" s="572"/>
      <c r="C624" s="572"/>
      <c r="D624" s="252" t="s">
        <v>265</v>
      </c>
      <c r="E624" s="184"/>
      <c r="F624" s="184"/>
      <c r="G624" s="174"/>
      <c r="H624" s="180" t="s">
        <v>46</v>
      </c>
      <c r="I624" s="37"/>
      <c r="J624" s="181">
        <v>1</v>
      </c>
      <c r="K624" s="162"/>
      <c r="L624" s="162"/>
      <c r="M624" s="162"/>
      <c r="N624" s="162"/>
      <c r="O624" s="162"/>
      <c r="P624" s="162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9">
      <c r="A625" s="571"/>
      <c r="B625" s="572"/>
      <c r="C625" s="572"/>
      <c r="D625" s="572"/>
      <c r="E625" s="184"/>
      <c r="F625" s="184"/>
      <c r="G625" s="174"/>
      <c r="H625" s="180" t="s">
        <v>34</v>
      </c>
      <c r="I625" s="37"/>
      <c r="J625" s="181">
        <v>1</v>
      </c>
      <c r="K625" s="162"/>
      <c r="L625" s="162"/>
      <c r="M625" s="162"/>
      <c r="N625" s="162"/>
      <c r="O625" s="162"/>
      <c r="P625" s="162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9">
      <c r="A626" s="571"/>
      <c r="B626" s="572"/>
      <c r="C626" s="572"/>
      <c r="D626" s="252" t="s">
        <v>270</v>
      </c>
      <c r="E626" s="184"/>
      <c r="F626" s="184"/>
      <c r="G626" s="174"/>
      <c r="H626" s="180" t="s">
        <v>46</v>
      </c>
      <c r="I626" s="37"/>
      <c r="J626" s="181">
        <v>0</v>
      </c>
      <c r="K626" s="162"/>
      <c r="L626" s="162"/>
      <c r="M626" s="162"/>
      <c r="N626" s="162"/>
      <c r="O626" s="162"/>
      <c r="P626" s="162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9">
      <c r="A627" s="678"/>
      <c r="B627" s="679"/>
      <c r="C627" s="679"/>
      <c r="D627" s="679"/>
      <c r="E627" s="399"/>
      <c r="F627" s="399"/>
      <c r="G627" s="680"/>
      <c r="H627" s="400" t="s">
        <v>34</v>
      </c>
      <c r="I627" s="365"/>
      <c r="J627" s="57">
        <v>0</v>
      </c>
      <c r="K627" s="366"/>
      <c r="L627" s="366"/>
      <c r="M627" s="366"/>
      <c r="N627" s="366"/>
      <c r="O627" s="366"/>
      <c r="P627" s="366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" hidden="1">
      <c r="A628" s="681">
        <v>7</v>
      </c>
      <c r="B628" s="682" t="s">
        <v>271</v>
      </c>
      <c r="C628" s="683"/>
      <c r="D628" s="683"/>
      <c r="E628" s="683"/>
      <c r="F628" s="683"/>
      <c r="G628" s="684"/>
      <c r="H628" s="685" t="s">
        <v>35</v>
      </c>
      <c r="I628" s="686">
        <f t="shared" ref="I628:J628" ca="1" si="262">I651</f>
        <v>0</v>
      </c>
      <c r="J628" s="686">
        <f t="shared" ca="1" si="262"/>
        <v>0</v>
      </c>
      <c r="K628" s="687">
        <f ca="1">IF(I628&gt;0,J628*100/I628,0)</f>
        <v>0</v>
      </c>
      <c r="L628" s="688"/>
      <c r="M628" s="688"/>
      <c r="N628" s="688"/>
      <c r="O628" s="688"/>
      <c r="P628" s="688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" hidden="1">
      <c r="A629" s="562"/>
      <c r="B629" s="542"/>
      <c r="C629" s="542" t="s">
        <v>16</v>
      </c>
      <c r="D629" s="782" t="s">
        <v>17</v>
      </c>
      <c r="E629" s="776"/>
      <c r="F629" s="776"/>
      <c r="G629" s="186"/>
      <c r="H629" s="563" t="s">
        <v>12</v>
      </c>
      <c r="I629" s="37"/>
      <c r="J629" s="37"/>
      <c r="K629" s="38"/>
      <c r="L629" s="191">
        <f t="shared" ref="L629:N629" ca="1" si="263">L630+L631</f>
        <v>0</v>
      </c>
      <c r="M629" s="191">
        <f t="shared" si="263"/>
        <v>0</v>
      </c>
      <c r="N629" s="191">
        <f t="shared" si="263"/>
        <v>0</v>
      </c>
      <c r="O629" s="191">
        <f t="shared" ref="O629:O634" ca="1" si="264">IF(L629&gt;0,N629*100/L629,0)</f>
        <v>0</v>
      </c>
      <c r="P629" s="191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9" hidden="1">
      <c r="A630" s="564"/>
      <c r="B630" s="565"/>
      <c r="C630" s="565"/>
      <c r="D630" s="566"/>
      <c r="E630" s="565" t="s">
        <v>185</v>
      </c>
      <c r="F630" s="565"/>
      <c r="G630" s="567"/>
      <c r="H630" s="164" t="s">
        <v>12</v>
      </c>
      <c r="I630" s="44"/>
      <c r="J630" s="44"/>
      <c r="K630" s="45"/>
      <c r="L630" s="45">
        <f t="shared" ref="L630:N631" si="266">L633+L640</f>
        <v>0</v>
      </c>
      <c r="M630" s="45">
        <f t="shared" si="266"/>
        <v>0</v>
      </c>
      <c r="N630" s="45">
        <f t="shared" si="266"/>
        <v>0</v>
      </c>
      <c r="O630" s="45">
        <f t="shared" si="264"/>
        <v>0</v>
      </c>
      <c r="P630" s="45">
        <f t="shared" si="265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9" hidden="1">
      <c r="A631" s="564"/>
      <c r="B631" s="569"/>
      <c r="C631" s="565"/>
      <c r="D631" s="566"/>
      <c r="E631" s="565" t="s">
        <v>186</v>
      </c>
      <c r="F631" s="565"/>
      <c r="G631" s="567"/>
      <c r="H631" s="164" t="s">
        <v>12</v>
      </c>
      <c r="I631" s="44"/>
      <c r="J631" s="44"/>
      <c r="K631" s="45"/>
      <c r="L631" s="45">
        <f t="shared" ca="1" si="266"/>
        <v>0</v>
      </c>
      <c r="M631" s="45">
        <f t="shared" si="266"/>
        <v>0</v>
      </c>
      <c r="N631" s="45">
        <f t="shared" si="266"/>
        <v>0</v>
      </c>
      <c r="O631" s="45">
        <f t="shared" ca="1" si="264"/>
        <v>0</v>
      </c>
      <c r="P631" s="45">
        <f t="shared" si="265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9" hidden="1">
      <c r="A632" s="562"/>
      <c r="B632" s="541"/>
      <c r="C632" s="542"/>
      <c r="D632" s="570" t="s">
        <v>20</v>
      </c>
      <c r="E632" s="542"/>
      <c r="F632" s="542"/>
      <c r="G632" s="186"/>
      <c r="H632" s="160" t="s">
        <v>12</v>
      </c>
      <c r="I632" s="161"/>
      <c r="J632" s="161"/>
      <c r="K632" s="162"/>
      <c r="L632" s="38">
        <f t="shared" ref="L632:N632" ca="1" si="267">L633+L634</f>
        <v>0</v>
      </c>
      <c r="M632" s="38">
        <f t="shared" si="267"/>
        <v>0</v>
      </c>
      <c r="N632" s="38">
        <f t="shared" si="267"/>
        <v>0</v>
      </c>
      <c r="O632" s="38">
        <f t="shared" ca="1" si="264"/>
        <v>0</v>
      </c>
      <c r="P632" s="38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9" hidden="1">
      <c r="A633" s="564"/>
      <c r="B633" s="569"/>
      <c r="C633" s="565"/>
      <c r="D633" s="566"/>
      <c r="E633" s="565" t="s">
        <v>185</v>
      </c>
      <c r="F633" s="565"/>
      <c r="G633" s="567"/>
      <c r="H633" s="164" t="s">
        <v>12</v>
      </c>
      <c r="I633" s="44"/>
      <c r="J633" s="44"/>
      <c r="K633" s="45"/>
      <c r="L633" s="45">
        <v>0</v>
      </c>
      <c r="M633" s="45">
        <v>0</v>
      </c>
      <c r="N633" s="45">
        <v>0</v>
      </c>
      <c r="O633" s="45">
        <f t="shared" si="264"/>
        <v>0</v>
      </c>
      <c r="P633" s="45">
        <f t="shared" si="265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9" hidden="1">
      <c r="A634" s="564"/>
      <c r="B634" s="569"/>
      <c r="C634" s="565"/>
      <c r="D634" s="566"/>
      <c r="E634" s="565" t="s">
        <v>186</v>
      </c>
      <c r="F634" s="565"/>
      <c r="G634" s="567"/>
      <c r="H634" s="164" t="s">
        <v>12</v>
      </c>
      <c r="I634" s="44"/>
      <c r="J634" s="44"/>
      <c r="K634" s="45"/>
      <c r="L634" s="45">
        <f ca="1">IFERROR(__xludf.DUMMYFUNCTION("IMPORTRANGE(""https://docs.google.com/spreadsheets/d/1QqKyyYR6Q21VydFLVH3TRQUabQu_ym0Zz7PgGX0-kHA/edit?usp=sharing"",""แผน!HN82"")"),0)</f>
        <v>0</v>
      </c>
      <c r="M634" s="45">
        <v>0</v>
      </c>
      <c r="N634" s="45">
        <f>N635+N636+N637+N638</f>
        <v>0</v>
      </c>
      <c r="O634" s="45">
        <f t="shared" ca="1" si="264"/>
        <v>0</v>
      </c>
      <c r="P634" s="45">
        <f t="shared" si="265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9" hidden="1">
      <c r="A635" s="540"/>
      <c r="B635" s="541"/>
      <c r="C635" s="542"/>
      <c r="D635" s="542"/>
      <c r="E635" s="542"/>
      <c r="F635" s="542" t="s">
        <v>187</v>
      </c>
      <c r="G635" s="186"/>
      <c r="H635" s="160" t="s">
        <v>12</v>
      </c>
      <c r="I635" s="37"/>
      <c r="J635" s="37"/>
      <c r="K635" s="38"/>
      <c r="L635" s="38"/>
      <c r="M635" s="38"/>
      <c r="N635" s="270"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9" hidden="1">
      <c r="A636" s="540"/>
      <c r="B636" s="541"/>
      <c r="C636" s="542"/>
      <c r="D636" s="542"/>
      <c r="E636" s="542"/>
      <c r="F636" s="542" t="s">
        <v>188</v>
      </c>
      <c r="G636" s="186"/>
      <c r="H636" s="160" t="s">
        <v>12</v>
      </c>
      <c r="I636" s="37"/>
      <c r="J636" s="37"/>
      <c r="K636" s="38"/>
      <c r="L636" s="38"/>
      <c r="M636" s="38"/>
      <c r="N636" s="270"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9" hidden="1">
      <c r="A637" s="540"/>
      <c r="B637" s="541"/>
      <c r="C637" s="542"/>
      <c r="D637" s="542"/>
      <c r="E637" s="542"/>
      <c r="F637" s="542" t="s">
        <v>189</v>
      </c>
      <c r="G637" s="186"/>
      <c r="H637" s="160" t="s">
        <v>12</v>
      </c>
      <c r="I637" s="37"/>
      <c r="J637" s="37"/>
      <c r="K637" s="38"/>
      <c r="L637" s="38"/>
      <c r="M637" s="38"/>
      <c r="N637" s="270">
        <v>0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9" hidden="1">
      <c r="A638" s="540"/>
      <c r="B638" s="541"/>
      <c r="C638" s="542"/>
      <c r="D638" s="542"/>
      <c r="E638" s="542"/>
      <c r="F638" s="542" t="s">
        <v>190</v>
      </c>
      <c r="G638" s="186"/>
      <c r="H638" s="160" t="s">
        <v>12</v>
      </c>
      <c r="I638" s="37"/>
      <c r="J638" s="37"/>
      <c r="K638" s="38"/>
      <c r="L638" s="38"/>
      <c r="M638" s="38"/>
      <c r="N638" s="270">
        <v>0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9" hidden="1">
      <c r="A639" s="562"/>
      <c r="B639" s="541"/>
      <c r="C639" s="542"/>
      <c r="D639" s="570" t="s">
        <v>21</v>
      </c>
      <c r="E639" s="542"/>
      <c r="F639" s="542"/>
      <c r="G639" s="186"/>
      <c r="H639" s="167" t="s">
        <v>12</v>
      </c>
      <c r="I639" s="161"/>
      <c r="J639" s="161"/>
      <c r="K639" s="162"/>
      <c r="L639" s="38">
        <f t="shared" ref="L639:N639" ca="1" si="268">L640+L641</f>
        <v>0</v>
      </c>
      <c r="M639" s="38">
        <f t="shared" si="268"/>
        <v>0</v>
      </c>
      <c r="N639" s="38">
        <f t="shared" si="268"/>
        <v>0</v>
      </c>
      <c r="O639" s="38">
        <f t="shared" ref="O639:O641" ca="1" si="269">IF(L639&gt;0,N639*100/L639,0)</f>
        <v>0</v>
      </c>
      <c r="P639" s="38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9" hidden="1">
      <c r="A640" s="564"/>
      <c r="B640" s="569"/>
      <c r="C640" s="565"/>
      <c r="D640" s="565"/>
      <c r="E640" s="565" t="s">
        <v>18</v>
      </c>
      <c r="F640" s="565"/>
      <c r="G640" s="567"/>
      <c r="H640" s="164" t="s">
        <v>12</v>
      </c>
      <c r="I640" s="165"/>
      <c r="J640" s="165"/>
      <c r="K640" s="166"/>
      <c r="L640" s="45">
        <v>0</v>
      </c>
      <c r="M640" s="45">
        <v>0</v>
      </c>
      <c r="N640" s="45">
        <v>0</v>
      </c>
      <c r="O640" s="45">
        <f t="shared" si="269"/>
        <v>0</v>
      </c>
      <c r="P640" s="45">
        <f t="shared" si="270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9" hidden="1">
      <c r="A641" s="564"/>
      <c r="B641" s="569"/>
      <c r="C641" s="565"/>
      <c r="D641" s="565"/>
      <c r="E641" s="565" t="s">
        <v>19</v>
      </c>
      <c r="F641" s="565"/>
      <c r="G641" s="567"/>
      <c r="H641" s="168" t="s">
        <v>12</v>
      </c>
      <c r="I641" s="165"/>
      <c r="J641" s="165"/>
      <c r="K641" s="166"/>
      <c r="L641" s="45">
        <f ca="1">IFERROR(__xludf.DUMMYFUNCTION("IMPORTRANGE(""https://docs.google.com/spreadsheets/d/1QqKyyYR6Q21VydFLVH3TRQUabQu_ym0Zz7PgGX0-kHA/edit?usp=sharing"",""แผน!HQ82"")"),0)</f>
        <v>0</v>
      </c>
      <c r="M641" s="45">
        <v>0</v>
      </c>
      <c r="N641" s="45">
        <v>0</v>
      </c>
      <c r="O641" s="45">
        <f t="shared" ca="1" si="269"/>
        <v>0</v>
      </c>
      <c r="P641" s="45">
        <f t="shared" si="270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" hidden="1">
      <c r="A642" s="571"/>
      <c r="B642" s="572"/>
      <c r="C642" s="542" t="s">
        <v>16</v>
      </c>
      <c r="D642" s="814" t="s">
        <v>38</v>
      </c>
      <c r="E642" s="575"/>
      <c r="F642" s="575"/>
      <c r="G642" s="576"/>
      <c r="H642" s="174"/>
      <c r="I642" s="161"/>
      <c r="J642" s="161"/>
      <c r="K642" s="162"/>
      <c r="L642" s="162"/>
      <c r="M642" s="162"/>
      <c r="N642" s="162"/>
      <c r="O642" s="162"/>
      <c r="P642" s="162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9" hidden="1">
      <c r="A643" s="689"/>
      <c r="B643" s="541"/>
      <c r="C643" s="542"/>
      <c r="D643" s="184"/>
      <c r="E643" s="252" t="s">
        <v>272</v>
      </c>
      <c r="F643" s="184"/>
      <c r="G643" s="174"/>
      <c r="H643" s="180" t="s">
        <v>273</v>
      </c>
      <c r="I643" s="37">
        <f ca="1">IFERROR(__xludf.DUMMYFUNCTION("IMPORTRANGE(""https://docs.google.com/spreadsheets/d/1QqKyyYR6Q21VydFLVH3TRQUabQu_ym0Zz7PgGX0-kHA/edit?usp=sharing"",""แผน!HR82"")"),0)</f>
        <v>0</v>
      </c>
      <c r="J643" s="181">
        <v>0</v>
      </c>
      <c r="K643" s="162">
        <f t="shared" ref="K643:K652" ca="1" si="271">IF(I643&gt;0,J643*100/I643,0)</f>
        <v>0</v>
      </c>
      <c r="L643" s="162"/>
      <c r="M643" s="162"/>
      <c r="N643" s="38"/>
      <c r="O643" s="162"/>
      <c r="P643" s="162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9" hidden="1">
      <c r="A644" s="689"/>
      <c r="B644" s="541"/>
      <c r="C644" s="542"/>
      <c r="D644" s="184"/>
      <c r="E644" s="252" t="s">
        <v>274</v>
      </c>
      <c r="F644" s="184"/>
      <c r="G644" s="174"/>
      <c r="H644" s="180" t="s">
        <v>275</v>
      </c>
      <c r="I644" s="37">
        <f ca="1">IFERROR(__xludf.DUMMYFUNCTION("IMPORTRANGE(""https://docs.google.com/spreadsheets/d/1QqKyyYR6Q21VydFLVH3TRQUabQu_ym0Zz7PgGX0-kHA/edit?usp=sharing"",""แผน!HR82"")"),0)</f>
        <v>0</v>
      </c>
      <c r="J644" s="181">
        <v>0</v>
      </c>
      <c r="K644" s="162">
        <f t="shared" ca="1" si="271"/>
        <v>0</v>
      </c>
      <c r="L644" s="162"/>
      <c r="M644" s="162"/>
      <c r="N644" s="38"/>
      <c r="O644" s="162"/>
      <c r="P644" s="162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9" hidden="1">
      <c r="A645" s="689"/>
      <c r="B645" s="541"/>
      <c r="C645" s="542"/>
      <c r="D645" s="184"/>
      <c r="E645" s="252" t="s">
        <v>276</v>
      </c>
      <c r="F645" s="184"/>
      <c r="G645" s="174"/>
      <c r="H645" s="180" t="s">
        <v>34</v>
      </c>
      <c r="I645" s="37">
        <v>0</v>
      </c>
      <c r="J645" s="37">
        <f ca="1">IFERROR(__xludf.DUMMYFUNCTION("IMPORTRANGE(""https://docs.google.com/spreadsheets/d/1XWAQStnk-4SwqDmLtmXYiTMKHgktTP8We1SCoS47DrQ/edit?usp=sharing"",""จัดที่ดิน!AS82"")"),0)</f>
        <v>0</v>
      </c>
      <c r="K645" s="162">
        <f t="shared" si="271"/>
        <v>0</v>
      </c>
      <c r="L645" s="162"/>
      <c r="M645" s="162"/>
      <c r="N645" s="38"/>
      <c r="O645" s="162"/>
      <c r="P645" s="162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9" hidden="1">
      <c r="A646" s="689"/>
      <c r="B646" s="541"/>
      <c r="C646" s="542"/>
      <c r="D646" s="184"/>
      <c r="E646" s="184"/>
      <c r="F646" s="184"/>
      <c r="G646" s="174"/>
      <c r="H646" s="180" t="s">
        <v>46</v>
      </c>
      <c r="I646" s="37">
        <v>0</v>
      </c>
      <c r="J646" s="37">
        <f ca="1">IFERROR(__xludf.DUMMYFUNCTION("IMPORTRANGE(""https://docs.google.com/spreadsheets/d/1XWAQStnk-4SwqDmLtmXYiTMKHgktTP8We1SCoS47DrQ/edit?usp=sharing"",""จัดที่ดิน!AT82"")"),0)</f>
        <v>0</v>
      </c>
      <c r="K646" s="38">
        <f t="shared" si="271"/>
        <v>0</v>
      </c>
      <c r="L646" s="162"/>
      <c r="M646" s="162"/>
      <c r="N646" s="38"/>
      <c r="O646" s="162"/>
      <c r="P646" s="162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9" hidden="1">
      <c r="A647" s="689"/>
      <c r="B647" s="541"/>
      <c r="C647" s="542"/>
      <c r="D647" s="184"/>
      <c r="E647" s="252" t="s">
        <v>162</v>
      </c>
      <c r="F647" s="184"/>
      <c r="G647" s="174"/>
      <c r="H647" s="180" t="s">
        <v>35</v>
      </c>
      <c r="I647" s="37">
        <f ca="1">IFERROR(__xludf.DUMMYFUNCTION("IMPORTRANGE(""https://docs.google.com/spreadsheets/d/1QqKyyYR6Q21VydFLVH3TRQUabQu_ym0Zz7PgGX0-kHA/edit?usp=sharing"",""แผน!HS82"")"),0)</f>
        <v>0</v>
      </c>
      <c r="J647" s="37">
        <f ca="1">IFERROR(__xludf.DUMMYFUNCTION("IMPORTRANGE(""https://docs.google.com/spreadsheets/d/1XWAQStnk-4SwqDmLtmXYiTMKHgktTP8We1SCoS47DrQ/edit?usp=sharing"",""จัดที่ดิน!AU82"")"),0)</f>
        <v>0</v>
      </c>
      <c r="K647" s="162">
        <f t="shared" ca="1" si="271"/>
        <v>0</v>
      </c>
      <c r="L647" s="162"/>
      <c r="M647" s="162"/>
      <c r="N647" s="162"/>
      <c r="O647" s="162"/>
      <c r="P647" s="162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9" hidden="1">
      <c r="A648" s="689"/>
      <c r="B648" s="541"/>
      <c r="C648" s="542"/>
      <c r="D648" s="184"/>
      <c r="E648" s="184"/>
      <c r="F648" s="184"/>
      <c r="G648" s="174"/>
      <c r="H648" s="180" t="s">
        <v>46</v>
      </c>
      <c r="I648" s="37">
        <v>0</v>
      </c>
      <c r="J648" s="37">
        <f ca="1">IFERROR(__xludf.DUMMYFUNCTION("IMPORTRANGE(""https://docs.google.com/spreadsheets/d/1XWAQStnk-4SwqDmLtmXYiTMKHgktTP8We1SCoS47DrQ/edit?usp=sharing"",""จัดที่ดิน!AV82"")"),0)</f>
        <v>0</v>
      </c>
      <c r="K648" s="38">
        <f t="shared" si="271"/>
        <v>0</v>
      </c>
      <c r="L648" s="162"/>
      <c r="M648" s="162"/>
      <c r="N648" s="162"/>
      <c r="O648" s="162"/>
      <c r="P648" s="162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9" hidden="1">
      <c r="A649" s="689"/>
      <c r="B649" s="541"/>
      <c r="C649" s="542"/>
      <c r="D649" s="184"/>
      <c r="E649" s="252" t="s">
        <v>277</v>
      </c>
      <c r="F649" s="184"/>
      <c r="G649" s="174"/>
      <c r="H649" s="180" t="s">
        <v>35</v>
      </c>
      <c r="I649" s="37">
        <f ca="1">IFERROR(__xludf.DUMMYFUNCTION("IMPORTRANGE(""https://docs.google.com/spreadsheets/d/1QqKyyYR6Q21VydFLVH3TRQUabQu_ym0Zz7PgGX0-kHA/edit?usp=sharing"",""แผน!HS82"")"),0)</f>
        <v>0</v>
      </c>
      <c r="J649" s="37">
        <f ca="1">IFERROR(__xludf.DUMMYFUNCTION("IMPORTRANGE(""https://docs.google.com/spreadsheets/d/1XWAQStnk-4SwqDmLtmXYiTMKHgktTP8We1SCoS47DrQ/edit?usp=sharing"",""จัดที่ดิน!AW82"")"),0)</f>
        <v>0</v>
      </c>
      <c r="K649" s="162">
        <f t="shared" ca="1" si="271"/>
        <v>0</v>
      </c>
      <c r="L649" s="162"/>
      <c r="M649" s="162"/>
      <c r="N649" s="162"/>
      <c r="O649" s="162"/>
      <c r="P649" s="162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9" hidden="1">
      <c r="A650" s="689"/>
      <c r="B650" s="541"/>
      <c r="C650" s="542"/>
      <c r="D650" s="184"/>
      <c r="E650" s="184"/>
      <c r="F650" s="184"/>
      <c r="G650" s="174"/>
      <c r="H650" s="180" t="s">
        <v>46</v>
      </c>
      <c r="I650" s="37">
        <v>0</v>
      </c>
      <c r="J650" s="37">
        <f ca="1">IFERROR(__xludf.DUMMYFUNCTION("IMPORTRANGE(""https://docs.google.com/spreadsheets/d/1XWAQStnk-4SwqDmLtmXYiTMKHgktTP8We1SCoS47DrQ/edit?usp=sharing"",""จัดที่ดิน!AX82"")"),0)</f>
        <v>0</v>
      </c>
      <c r="K650" s="38">
        <f t="shared" si="271"/>
        <v>0</v>
      </c>
      <c r="L650" s="162"/>
      <c r="M650" s="162"/>
      <c r="N650" s="162"/>
      <c r="O650" s="162"/>
      <c r="P650" s="162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9" hidden="1">
      <c r="A651" s="689"/>
      <c r="B651" s="541"/>
      <c r="C651" s="542"/>
      <c r="D651" s="184"/>
      <c r="E651" s="252" t="s">
        <v>278</v>
      </c>
      <c r="F651" s="184"/>
      <c r="G651" s="174"/>
      <c r="H651" s="180" t="s">
        <v>35</v>
      </c>
      <c r="I651" s="37">
        <f ca="1">IFERROR(__xludf.DUMMYFUNCTION("IMPORTRANGE(""https://docs.google.com/spreadsheets/d/1QqKyyYR6Q21VydFLVH3TRQUabQu_ym0Zz7PgGX0-kHA/edit?usp=sharing"",""แผน!HS82"")"),0)</f>
        <v>0</v>
      </c>
      <c r="J651" s="37">
        <f ca="1">IFERROR(__xludf.DUMMYFUNCTION("IMPORTRANGE(""https://docs.google.com/spreadsheets/d/1XWAQStnk-4SwqDmLtmXYiTMKHgktTP8We1SCoS47DrQ/edit?usp=sharing"",""จัดที่ดิน!AY82"")"),0)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9" hidden="1">
      <c r="A652" s="690"/>
      <c r="B652" s="691"/>
      <c r="C652" s="692"/>
      <c r="D652" s="399"/>
      <c r="E652" s="399"/>
      <c r="F652" s="399"/>
      <c r="G652" s="680"/>
      <c r="H652" s="474" t="s">
        <v>46</v>
      </c>
      <c r="I652" s="365">
        <v>0</v>
      </c>
      <c r="J652" s="365">
        <f ca="1">IFERROR(__xludf.DUMMYFUNCTION("IMPORTRANGE(""https://docs.google.com/spreadsheets/d/1XWAQStnk-4SwqDmLtmXYiTMKHgktTP8We1SCoS47DrQ/edit?usp=sharing"",""จัดที่ดิน!AZ82"")"),0)</f>
        <v>0</v>
      </c>
      <c r="K652" s="475">
        <f t="shared" si="271"/>
        <v>0</v>
      </c>
      <c r="L652" s="366"/>
      <c r="M652" s="366"/>
      <c r="N652" s="366"/>
      <c r="O652" s="366"/>
      <c r="P652" s="366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">
      <c r="A653" s="693">
        <v>8</v>
      </c>
      <c r="B653" s="682" t="s">
        <v>279</v>
      </c>
      <c r="C653" s="683"/>
      <c r="D653" s="683"/>
      <c r="E653" s="683"/>
      <c r="F653" s="683"/>
      <c r="G653" s="684"/>
      <c r="H653" s="684"/>
      <c r="I653" s="694"/>
      <c r="J653" s="694"/>
      <c r="K653" s="688"/>
      <c r="L653" s="688"/>
      <c r="M653" s="688"/>
      <c r="N653" s="688"/>
      <c r="O653" s="688"/>
      <c r="P653" s="688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">
      <c r="A654" s="627"/>
      <c r="B654" s="626" t="s">
        <v>280</v>
      </c>
      <c r="C654" s="627"/>
      <c r="D654" s="627"/>
      <c r="E654" s="627"/>
      <c r="F654" s="627"/>
      <c r="G654" s="628"/>
      <c r="H654" s="658" t="s">
        <v>46</v>
      </c>
      <c r="I654" s="630">
        <f t="shared" ref="I654:J654" ca="1" si="272">I669</f>
        <v>50</v>
      </c>
      <c r="J654" s="630">
        <f t="shared" si="272"/>
        <v>0</v>
      </c>
      <c r="K654" s="631">
        <f ca="1">IF(I654&gt;0,J654*100/I654,0)</f>
        <v>0</v>
      </c>
      <c r="L654" s="632"/>
      <c r="M654" s="632"/>
      <c r="N654" s="632"/>
      <c r="O654" s="632"/>
      <c r="P654" s="632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">
      <c r="A655" s="562"/>
      <c r="B655" s="542"/>
      <c r="C655" s="542" t="s">
        <v>16</v>
      </c>
      <c r="D655" s="782" t="s">
        <v>17</v>
      </c>
      <c r="E655" s="776"/>
      <c r="F655" s="776"/>
      <c r="G655" s="186"/>
      <c r="H655" s="563" t="s">
        <v>12</v>
      </c>
      <c r="I655" s="37"/>
      <c r="J655" s="37"/>
      <c r="K655" s="38"/>
      <c r="L655" s="191">
        <f t="shared" ref="L655:N655" ca="1" si="273">L656+L657</f>
        <v>11000</v>
      </c>
      <c r="M655" s="191">
        <f t="shared" ca="1" si="273"/>
        <v>11000</v>
      </c>
      <c r="N655" s="191">
        <f t="shared" si="273"/>
        <v>4240.3999999999996</v>
      </c>
      <c r="O655" s="191">
        <f t="shared" ref="O655:O660" ca="1" si="274">IF(L655&gt;0,N655*100/L655,0)</f>
        <v>38.549090909090907</v>
      </c>
      <c r="P655" s="191">
        <f t="shared" ref="P655:P660" ca="1" si="275">IF(M655&gt;0,N655*100/M655,0)</f>
        <v>38.549090909090907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9" hidden="1">
      <c r="A656" s="564"/>
      <c r="B656" s="565"/>
      <c r="C656" s="565"/>
      <c r="D656" s="566"/>
      <c r="E656" s="565" t="s">
        <v>185</v>
      </c>
      <c r="F656" s="565"/>
      <c r="G656" s="567"/>
      <c r="H656" s="164" t="s">
        <v>12</v>
      </c>
      <c r="I656" s="44"/>
      <c r="J656" s="44"/>
      <c r="K656" s="45"/>
      <c r="L656" s="45">
        <f t="shared" ref="L656:N657" si="276">L659+L666</f>
        <v>0</v>
      </c>
      <c r="M656" s="45">
        <f t="shared" si="276"/>
        <v>0</v>
      </c>
      <c r="N656" s="45">
        <f t="shared" si="276"/>
        <v>0</v>
      </c>
      <c r="O656" s="45">
        <f t="shared" si="274"/>
        <v>0</v>
      </c>
      <c r="P656" s="45">
        <f t="shared" si="275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9" hidden="1">
      <c r="A657" s="564"/>
      <c r="B657" s="569"/>
      <c r="C657" s="565"/>
      <c r="D657" s="566"/>
      <c r="E657" s="565" t="s">
        <v>186</v>
      </c>
      <c r="F657" s="565"/>
      <c r="G657" s="567"/>
      <c r="H657" s="164" t="s">
        <v>12</v>
      </c>
      <c r="I657" s="44"/>
      <c r="J657" s="44"/>
      <c r="K657" s="45"/>
      <c r="L657" s="45">
        <f t="shared" ca="1" si="276"/>
        <v>11000</v>
      </c>
      <c r="M657" s="45">
        <f t="shared" ca="1" si="276"/>
        <v>11000</v>
      </c>
      <c r="N657" s="45">
        <f t="shared" si="276"/>
        <v>4240.3999999999996</v>
      </c>
      <c r="O657" s="45">
        <f t="shared" ca="1" si="274"/>
        <v>38.549090909090907</v>
      </c>
      <c r="P657" s="45">
        <f t="shared" ca="1" si="275"/>
        <v>38.549090909090907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9">
      <c r="A658" s="562"/>
      <c r="B658" s="541"/>
      <c r="C658" s="542"/>
      <c r="D658" s="570" t="s">
        <v>20</v>
      </c>
      <c r="E658" s="542"/>
      <c r="F658" s="542"/>
      <c r="G658" s="186"/>
      <c r="H658" s="160" t="s">
        <v>12</v>
      </c>
      <c r="I658" s="161"/>
      <c r="J658" s="161"/>
      <c r="K658" s="162"/>
      <c r="L658" s="38">
        <f t="shared" ref="L658:N658" ca="1" si="277">L659+L660</f>
        <v>11000</v>
      </c>
      <c r="M658" s="38">
        <f t="shared" ca="1" si="277"/>
        <v>11000</v>
      </c>
      <c r="N658" s="38">
        <f t="shared" si="277"/>
        <v>4240.3999999999996</v>
      </c>
      <c r="O658" s="38">
        <f t="shared" ca="1" si="274"/>
        <v>38.549090909090907</v>
      </c>
      <c r="P658" s="38">
        <f t="shared" ca="1" si="275"/>
        <v>38.549090909090907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9" hidden="1">
      <c r="A659" s="564"/>
      <c r="B659" s="569"/>
      <c r="C659" s="565"/>
      <c r="D659" s="566"/>
      <c r="E659" s="565" t="s">
        <v>185</v>
      </c>
      <c r="F659" s="565"/>
      <c r="G659" s="567"/>
      <c r="H659" s="164" t="s">
        <v>12</v>
      </c>
      <c r="I659" s="44"/>
      <c r="J659" s="44"/>
      <c r="K659" s="45"/>
      <c r="L659" s="45">
        <v>0</v>
      </c>
      <c r="M659" s="45">
        <v>0</v>
      </c>
      <c r="N659" s="45">
        <v>0</v>
      </c>
      <c r="O659" s="45">
        <f t="shared" si="274"/>
        <v>0</v>
      </c>
      <c r="P659" s="45">
        <f t="shared" si="275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9" hidden="1">
      <c r="A660" s="564"/>
      <c r="B660" s="569"/>
      <c r="C660" s="565"/>
      <c r="D660" s="566"/>
      <c r="E660" s="565" t="s">
        <v>186</v>
      </c>
      <c r="F660" s="565"/>
      <c r="G660" s="567"/>
      <c r="H660" s="164" t="s">
        <v>12</v>
      </c>
      <c r="I660" s="44"/>
      <c r="J660" s="44"/>
      <c r="K660" s="45"/>
      <c r="L660" s="45">
        <f ca="1">IFERROR(__xludf.DUMMYFUNCTION("IMPORTRANGE(""https://docs.google.com/spreadsheets/d/1QqKyyYR6Q21VydFLVH3TRQUabQu_ym0Zz7PgGX0-kHA/edit?usp=sharing"",""แผน!HV82"")"),11000)</f>
        <v>11000</v>
      </c>
      <c r="M660" s="45">
        <f ca="1">L660</f>
        <v>11000</v>
      </c>
      <c r="N660" s="45">
        <f>N661+N662+N663+N664</f>
        <v>4240.3999999999996</v>
      </c>
      <c r="O660" s="45">
        <f t="shared" ca="1" si="274"/>
        <v>38.549090909090907</v>
      </c>
      <c r="P660" s="45">
        <f t="shared" ca="1" si="275"/>
        <v>38.549090909090907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9">
      <c r="A661" s="540"/>
      <c r="B661" s="541"/>
      <c r="C661" s="542"/>
      <c r="D661" s="542"/>
      <c r="E661" s="542"/>
      <c r="F661" s="542" t="s">
        <v>187</v>
      </c>
      <c r="G661" s="186"/>
      <c r="H661" s="160" t="s">
        <v>12</v>
      </c>
      <c r="I661" s="37"/>
      <c r="J661" s="37"/>
      <c r="K661" s="38"/>
      <c r="L661" s="38"/>
      <c r="M661" s="38"/>
      <c r="N661" s="270"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9">
      <c r="A662" s="540"/>
      <c r="B662" s="541"/>
      <c r="C662" s="542"/>
      <c r="D662" s="542"/>
      <c r="E662" s="542"/>
      <c r="F662" s="542" t="s">
        <v>188</v>
      </c>
      <c r="G662" s="186"/>
      <c r="H662" s="160" t="s">
        <v>12</v>
      </c>
      <c r="I662" s="37"/>
      <c r="J662" s="37"/>
      <c r="K662" s="38"/>
      <c r="L662" s="38"/>
      <c r="M662" s="38"/>
      <c r="N662" s="270"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9">
      <c r="A663" s="540"/>
      <c r="B663" s="541"/>
      <c r="C663" s="541"/>
      <c r="D663" s="542"/>
      <c r="E663" s="542"/>
      <c r="F663" s="542" t="s">
        <v>189</v>
      </c>
      <c r="G663" s="186"/>
      <c r="H663" s="160" t="s">
        <v>12</v>
      </c>
      <c r="I663" s="37"/>
      <c r="J663" s="37"/>
      <c r="K663" s="38"/>
      <c r="L663" s="38"/>
      <c r="M663" s="38"/>
      <c r="N663" s="270"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9">
      <c r="A664" s="540"/>
      <c r="B664" s="541"/>
      <c r="C664" s="541"/>
      <c r="D664" s="541"/>
      <c r="E664" s="542"/>
      <c r="F664" s="542" t="s">
        <v>190</v>
      </c>
      <c r="G664" s="186"/>
      <c r="H664" s="160" t="s">
        <v>12</v>
      </c>
      <c r="I664" s="37"/>
      <c r="J664" s="37"/>
      <c r="K664" s="38"/>
      <c r="L664" s="38"/>
      <c r="M664" s="38"/>
      <c r="N664" s="270">
        <v>4240.3999999999996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9">
      <c r="A665" s="562"/>
      <c r="B665" s="541"/>
      <c r="C665" s="541"/>
      <c r="D665" s="570" t="s">
        <v>21</v>
      </c>
      <c r="E665" s="542"/>
      <c r="F665" s="542"/>
      <c r="G665" s="186"/>
      <c r="H665" s="167" t="s">
        <v>12</v>
      </c>
      <c r="I665" s="161"/>
      <c r="J665" s="161"/>
      <c r="K665" s="162"/>
      <c r="L665" s="38">
        <f t="shared" ref="L665:N665" si="278">L666+L667</f>
        <v>0</v>
      </c>
      <c r="M665" s="38">
        <f t="shared" si="278"/>
        <v>0</v>
      </c>
      <c r="N665" s="38">
        <f t="shared" si="278"/>
        <v>0</v>
      </c>
      <c r="O665" s="38">
        <f t="shared" ref="O665:O667" si="279">IF(L665&gt;0,N665*100/L665,0)</f>
        <v>0</v>
      </c>
      <c r="P665" s="38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9" hidden="1">
      <c r="A666" s="564"/>
      <c r="B666" s="569"/>
      <c r="C666" s="569"/>
      <c r="D666" s="569"/>
      <c r="E666" s="565" t="s">
        <v>18</v>
      </c>
      <c r="F666" s="565"/>
      <c r="G666" s="567"/>
      <c r="H666" s="164" t="s">
        <v>12</v>
      </c>
      <c r="I666" s="165"/>
      <c r="J666" s="165"/>
      <c r="K666" s="166"/>
      <c r="L666" s="45">
        <v>0</v>
      </c>
      <c r="M666" s="45">
        <v>0</v>
      </c>
      <c r="N666" s="45">
        <v>0</v>
      </c>
      <c r="O666" s="45">
        <f t="shared" si="279"/>
        <v>0</v>
      </c>
      <c r="P666" s="45">
        <f t="shared" si="28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9" hidden="1">
      <c r="A667" s="564"/>
      <c r="B667" s="569"/>
      <c r="C667" s="569"/>
      <c r="D667" s="569"/>
      <c r="E667" s="565" t="s">
        <v>19</v>
      </c>
      <c r="F667" s="565"/>
      <c r="G667" s="567"/>
      <c r="H667" s="168" t="s">
        <v>12</v>
      </c>
      <c r="I667" s="165"/>
      <c r="J667" s="165"/>
      <c r="K667" s="166"/>
      <c r="L667" s="45">
        <v>0</v>
      </c>
      <c r="M667" s="45">
        <v>0</v>
      </c>
      <c r="N667" s="45">
        <v>0</v>
      </c>
      <c r="O667" s="45">
        <f t="shared" si="279"/>
        <v>0</v>
      </c>
      <c r="P667" s="45">
        <f t="shared" si="28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">
      <c r="A668" s="571"/>
      <c r="B668" s="572"/>
      <c r="C668" s="541" t="s">
        <v>16</v>
      </c>
      <c r="D668" s="811" t="s">
        <v>38</v>
      </c>
      <c r="E668" s="575"/>
      <c r="F668" s="575"/>
      <c r="G668" s="576"/>
      <c r="H668" s="174"/>
      <c r="I668" s="161"/>
      <c r="J668" s="161"/>
      <c r="K668" s="162"/>
      <c r="L668" s="162"/>
      <c r="M668" s="162"/>
      <c r="N668" s="162"/>
      <c r="O668" s="162"/>
      <c r="P668" s="162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">
      <c r="A669" s="571"/>
      <c r="B669" s="572"/>
      <c r="C669" s="572"/>
      <c r="D669" s="572" t="s">
        <v>281</v>
      </c>
      <c r="E669" s="184"/>
      <c r="F669" s="184"/>
      <c r="G669" s="174"/>
      <c r="H669" s="188" t="s">
        <v>46</v>
      </c>
      <c r="I669" s="190">
        <f ca="1">IFERROR(__xludf.DUMMYFUNCTION("IMPORTRANGE(""https://docs.google.com/spreadsheets/d/1QqKyyYR6Q21VydFLVH3TRQUabQu_ym0Zz7PgGX0-kHA/edit?usp=sharing"",""แผน!IA82"")"),50)</f>
        <v>50</v>
      </c>
      <c r="J669" s="190">
        <f>J675</f>
        <v>0</v>
      </c>
      <c r="K669" s="191">
        <f ca="1">IF(I669&gt;0,J669*100/I669,0)</f>
        <v>0</v>
      </c>
      <c r="L669" s="162"/>
      <c r="M669" s="162"/>
      <c r="N669" s="162"/>
      <c r="O669" s="162"/>
      <c r="P669" s="162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9">
      <c r="A670" s="571"/>
      <c r="B670" s="572"/>
      <c r="C670" s="572"/>
      <c r="D670" s="572"/>
      <c r="E670" s="184" t="s">
        <v>282</v>
      </c>
      <c r="F670" s="184"/>
      <c r="G670" s="174"/>
      <c r="H670" s="180" t="s">
        <v>66</v>
      </c>
      <c r="I670" s="37">
        <f ca="1">IFERROR(__xludf.DUMMYFUNCTION("IMPORTRANGE(""https://docs.google.com/spreadsheets/d/1QqKyyYR6Q21VydFLVH3TRQUabQu_ym0Zz7PgGX0-kHA/edit?usp=sharing"",""แผน!HZ82"")"),5)</f>
        <v>5</v>
      </c>
      <c r="J670" s="181">
        <v>5</v>
      </c>
      <c r="K670" s="38">
        <f ca="1">IF(I670&gt;0,(J670*100)/I670,0)</f>
        <v>100</v>
      </c>
      <c r="L670" s="162"/>
      <c r="M670" s="162"/>
      <c r="N670" s="162"/>
      <c r="O670" s="162"/>
      <c r="P670" s="162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9">
      <c r="A671" s="571"/>
      <c r="B671" s="572"/>
      <c r="C671" s="572"/>
      <c r="D671" s="572"/>
      <c r="E671" s="184" t="s">
        <v>283</v>
      </c>
      <c r="F671" s="184"/>
      <c r="G671" s="174"/>
      <c r="H671" s="180" t="s">
        <v>66</v>
      </c>
      <c r="I671" s="37">
        <f ca="1">IFERROR(__xludf.DUMMYFUNCTION("IMPORTRANGE(""https://docs.google.com/spreadsheets/d/1QqKyyYR6Q21VydFLVH3TRQUabQu_ym0Zz7PgGX0-kHA/edit?usp=sharing"",""แผน!HZ82"")"),5)</f>
        <v>5</v>
      </c>
      <c r="J671" s="181">
        <v>5</v>
      </c>
      <c r="K671" s="38">
        <f ca="1">IF(I$671&gt;0,J671*100/I$671,0)</f>
        <v>100</v>
      </c>
      <c r="L671" s="162"/>
      <c r="M671" s="162"/>
      <c r="N671" s="162"/>
      <c r="O671" s="162"/>
      <c r="P671" s="162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9">
      <c r="A672" s="571"/>
      <c r="B672" s="572"/>
      <c r="C672" s="572"/>
      <c r="D672" s="572"/>
      <c r="E672" s="184" t="s">
        <v>284</v>
      </c>
      <c r="F672" s="184"/>
      <c r="G672" s="174"/>
      <c r="H672" s="180" t="s">
        <v>46</v>
      </c>
      <c r="I672" s="37"/>
      <c r="J672" s="181">
        <v>0</v>
      </c>
      <c r="K672" s="38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9">
      <c r="A673" s="571"/>
      <c r="B673" s="572"/>
      <c r="C673" s="572"/>
      <c r="D673" s="572"/>
      <c r="E673" s="184" t="s">
        <v>285</v>
      </c>
      <c r="F673" s="184"/>
      <c r="G673" s="174"/>
      <c r="H673" s="180" t="s">
        <v>46</v>
      </c>
      <c r="I673" s="37"/>
      <c r="J673" s="181">
        <v>0</v>
      </c>
      <c r="K673" s="38">
        <f t="shared" ca="1" si="281"/>
        <v>0</v>
      </c>
      <c r="L673" s="162"/>
      <c r="M673" s="162"/>
      <c r="N673" s="162"/>
      <c r="O673" s="162"/>
      <c r="P673" s="162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9">
      <c r="A674" s="571"/>
      <c r="B674" s="572"/>
      <c r="C674" s="572"/>
      <c r="D674" s="572"/>
      <c r="E674" s="184" t="s">
        <v>286</v>
      </c>
      <c r="F674" s="184"/>
      <c r="G674" s="174"/>
      <c r="H674" s="180" t="s">
        <v>46</v>
      </c>
      <c r="I674" s="37"/>
      <c r="J674" s="181">
        <v>0</v>
      </c>
      <c r="K674" s="38">
        <f t="shared" ca="1" si="281"/>
        <v>0</v>
      </c>
      <c r="L674" s="162"/>
      <c r="M674" s="162"/>
      <c r="N674" s="162"/>
      <c r="O674" s="162"/>
      <c r="P674" s="162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">
      <c r="A675" s="571"/>
      <c r="B675" s="572"/>
      <c r="C675" s="572"/>
      <c r="D675" s="572"/>
      <c r="E675" s="184" t="s">
        <v>287</v>
      </c>
      <c r="F675" s="184"/>
      <c r="G675" s="174"/>
      <c r="H675" s="180" t="s">
        <v>46</v>
      </c>
      <c r="I675" s="37"/>
      <c r="J675" s="190">
        <f>J676+J677</f>
        <v>0</v>
      </c>
      <c r="K675" s="191">
        <f t="shared" ca="1" si="281"/>
        <v>0</v>
      </c>
      <c r="L675" s="162"/>
      <c r="M675" s="162"/>
      <c r="N675" s="162"/>
      <c r="O675" s="162"/>
      <c r="P675" s="162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9">
      <c r="A676" s="571"/>
      <c r="B676" s="572"/>
      <c r="C676" s="572"/>
      <c r="D676" s="572"/>
      <c r="E676" s="184"/>
      <c r="F676" s="184" t="s">
        <v>288</v>
      </c>
      <c r="G676" s="174"/>
      <c r="H676" s="180" t="s">
        <v>46</v>
      </c>
      <c r="I676" s="37"/>
      <c r="J676" s="181">
        <v>0</v>
      </c>
      <c r="K676" s="38"/>
      <c r="L676" s="162"/>
      <c r="M676" s="162"/>
      <c r="N676" s="162"/>
      <c r="O676" s="162"/>
      <c r="P676" s="162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9">
      <c r="A677" s="571"/>
      <c r="B677" s="572"/>
      <c r="C677" s="572"/>
      <c r="D677" s="572"/>
      <c r="E677" s="184"/>
      <c r="F677" s="184" t="s">
        <v>289</v>
      </c>
      <c r="G677" s="174"/>
      <c r="H677" s="180" t="s">
        <v>46</v>
      </c>
      <c r="I677" s="37"/>
      <c r="J677" s="181">
        <v>0</v>
      </c>
      <c r="K677" s="38"/>
      <c r="L677" s="162"/>
      <c r="M677" s="162"/>
      <c r="N677" s="162"/>
      <c r="O677" s="162"/>
      <c r="P677" s="162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">
      <c r="A678" s="571"/>
      <c r="B678" s="572"/>
      <c r="C678" s="572"/>
      <c r="D678" s="572" t="s">
        <v>290</v>
      </c>
      <c r="E678" s="184"/>
      <c r="F678" s="184"/>
      <c r="G678" s="174"/>
      <c r="H678" s="180" t="s">
        <v>46</v>
      </c>
      <c r="I678" s="190">
        <f ca="1">IFERROR(__xludf.DUMMYFUNCTION("IMPORTRANGE(""https://docs.google.com/spreadsheets/d/1QqKyyYR6Q21VydFLVH3TRQUabQu_ym0Zz7PgGX0-kHA/edit?usp=sharing"",""แผน!IB82"")"),0)</f>
        <v>0</v>
      </c>
      <c r="J678" s="190">
        <f>J679</f>
        <v>0</v>
      </c>
      <c r="K678" s="191">
        <f ca="1">IF(I678&gt;0,J678*100/I678,0)</f>
        <v>0</v>
      </c>
      <c r="L678" s="162"/>
      <c r="M678" s="162"/>
      <c r="N678" s="162"/>
      <c r="O678" s="162"/>
      <c r="P678" s="162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9">
      <c r="A679" s="571"/>
      <c r="B679" s="572"/>
      <c r="C679" s="572"/>
      <c r="D679" s="572"/>
      <c r="E679" s="184" t="s">
        <v>291</v>
      </c>
      <c r="F679" s="184"/>
      <c r="G679" s="174"/>
      <c r="H679" s="180" t="s">
        <v>46</v>
      </c>
      <c r="I679" s="37"/>
      <c r="J679" s="37">
        <f>J680+J681</f>
        <v>0</v>
      </c>
      <c r="K679" s="38"/>
      <c r="L679" s="162"/>
      <c r="M679" s="162"/>
      <c r="N679" s="162"/>
      <c r="O679" s="162"/>
      <c r="P679" s="162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9">
      <c r="A680" s="571"/>
      <c r="B680" s="572"/>
      <c r="C680" s="572"/>
      <c r="D680" s="572"/>
      <c r="E680" s="184"/>
      <c r="F680" s="184" t="s">
        <v>288</v>
      </c>
      <c r="G680" s="174"/>
      <c r="H680" s="180" t="s">
        <v>46</v>
      </c>
      <c r="I680" s="37"/>
      <c r="J680" s="181">
        <v>0</v>
      </c>
      <c r="K680" s="38"/>
      <c r="L680" s="162"/>
      <c r="M680" s="162"/>
      <c r="N680" s="162"/>
      <c r="O680" s="162"/>
      <c r="P680" s="162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9">
      <c r="A681" s="571"/>
      <c r="B681" s="572"/>
      <c r="C681" s="572"/>
      <c r="D681" s="572"/>
      <c r="E681" s="184"/>
      <c r="F681" s="184" t="s">
        <v>289</v>
      </c>
      <c r="G681" s="174"/>
      <c r="H681" s="180" t="s">
        <v>46</v>
      </c>
      <c r="I681" s="37"/>
      <c r="J681" s="181">
        <v>0</v>
      </c>
      <c r="K681" s="38"/>
      <c r="L681" s="162"/>
      <c r="M681" s="162"/>
      <c r="N681" s="162"/>
      <c r="O681" s="162"/>
      <c r="P681" s="162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9">
      <c r="A682" s="571"/>
      <c r="B682" s="572"/>
      <c r="C682" s="572"/>
      <c r="D682" s="572"/>
      <c r="E682" s="184" t="s">
        <v>292</v>
      </c>
      <c r="F682" s="184"/>
      <c r="G682" s="174"/>
      <c r="H682" s="180" t="s">
        <v>46</v>
      </c>
      <c r="I682" s="37"/>
      <c r="J682" s="181">
        <v>0</v>
      </c>
      <c r="K682" s="38"/>
      <c r="L682" s="162"/>
      <c r="M682" s="162"/>
      <c r="N682" s="162"/>
      <c r="O682" s="162"/>
      <c r="P682" s="162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">
      <c r="A683" s="571"/>
      <c r="B683" s="572"/>
      <c r="C683" s="572"/>
      <c r="D683" s="572"/>
      <c r="E683" s="184"/>
      <c r="F683" s="184" t="s">
        <v>293</v>
      </c>
      <c r="G683" s="174"/>
      <c r="H683" s="180" t="s">
        <v>46</v>
      </c>
      <c r="I683" s="37"/>
      <c r="J683" s="181">
        <v>0</v>
      </c>
      <c r="K683" s="38"/>
      <c r="L683" s="162"/>
      <c r="M683" s="162"/>
      <c r="N683" s="162"/>
      <c r="O683" s="162"/>
      <c r="P683" s="162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" hidden="1">
      <c r="A684" s="695"/>
      <c r="B684" s="696" t="s">
        <v>294</v>
      </c>
      <c r="C684" s="695"/>
      <c r="D684" s="695"/>
      <c r="E684" s="695"/>
      <c r="F684" s="695"/>
      <c r="G684" s="697"/>
      <c r="H684" s="697"/>
      <c r="I684" s="698"/>
      <c r="J684" s="698"/>
      <c r="K684" s="699"/>
      <c r="L684" s="699"/>
      <c r="M684" s="699"/>
      <c r="N684" s="699"/>
      <c r="O684" s="699"/>
      <c r="P684" s="699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" hidden="1">
      <c r="A685" s="562"/>
      <c r="B685" s="542"/>
      <c r="C685" s="542" t="s">
        <v>16</v>
      </c>
      <c r="D685" s="782" t="s">
        <v>17</v>
      </c>
      <c r="E685" s="776"/>
      <c r="F685" s="776"/>
      <c r="G685" s="186"/>
      <c r="H685" s="563" t="s">
        <v>12</v>
      </c>
      <c r="I685" s="37"/>
      <c r="J685" s="37"/>
      <c r="K685" s="38"/>
      <c r="L685" s="191">
        <f t="shared" ref="L685:N685" ca="1" si="282">L686+L687</f>
        <v>0</v>
      </c>
      <c r="M685" s="191">
        <f t="shared" si="282"/>
        <v>0</v>
      </c>
      <c r="N685" s="191">
        <f t="shared" si="282"/>
        <v>0</v>
      </c>
      <c r="O685" s="191">
        <f t="shared" ref="O685:O688" ca="1" si="283">IF(L685&gt;0,N685*100/L685,0)</f>
        <v>0</v>
      </c>
      <c r="P685" s="191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" hidden="1">
      <c r="A686" s="564"/>
      <c r="B686" s="565"/>
      <c r="C686" s="565"/>
      <c r="D686" s="566"/>
      <c r="E686" s="565" t="s">
        <v>185</v>
      </c>
      <c r="F686" s="565"/>
      <c r="G686" s="567"/>
      <c r="H686" s="164" t="s">
        <v>12</v>
      </c>
      <c r="I686" s="44"/>
      <c r="J686" s="44"/>
      <c r="K686" s="45"/>
      <c r="L686" s="45">
        <f t="shared" ref="L686:N687" si="285">L689+L696</f>
        <v>0</v>
      </c>
      <c r="M686" s="45">
        <f t="shared" si="285"/>
        <v>0</v>
      </c>
      <c r="N686" s="45">
        <f t="shared" si="285"/>
        <v>0</v>
      </c>
      <c r="O686" s="45">
        <f t="shared" si="283"/>
        <v>0</v>
      </c>
      <c r="P686" s="45">
        <f t="shared" si="28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" hidden="1">
      <c r="A687" s="564"/>
      <c r="B687" s="569"/>
      <c r="C687" s="565"/>
      <c r="D687" s="566"/>
      <c r="E687" s="565" t="s">
        <v>186</v>
      </c>
      <c r="F687" s="565"/>
      <c r="G687" s="567"/>
      <c r="H687" s="164" t="s">
        <v>12</v>
      </c>
      <c r="I687" s="44"/>
      <c r="J687" s="44"/>
      <c r="K687" s="45"/>
      <c r="L687" s="45">
        <f t="shared" ca="1" si="285"/>
        <v>0</v>
      </c>
      <c r="M687" s="45">
        <f t="shared" si="285"/>
        <v>0</v>
      </c>
      <c r="N687" s="45">
        <f t="shared" si="285"/>
        <v>0</v>
      </c>
      <c r="O687" s="45">
        <f t="shared" ca="1" si="283"/>
        <v>0</v>
      </c>
      <c r="P687" s="45">
        <f t="shared" si="28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" hidden="1">
      <c r="A688" s="562"/>
      <c r="B688" s="541"/>
      <c r="C688" s="542"/>
      <c r="D688" s="570" t="s">
        <v>20</v>
      </c>
      <c r="E688" s="542"/>
      <c r="F688" s="542"/>
      <c r="G688" s="186"/>
      <c r="H688" s="160" t="s">
        <v>12</v>
      </c>
      <c r="I688" s="161"/>
      <c r="J688" s="161"/>
      <c r="K688" s="162"/>
      <c r="L688" s="38">
        <f t="shared" ref="L688:N688" ca="1" si="286">L689+L690</f>
        <v>0</v>
      </c>
      <c r="M688" s="38">
        <f t="shared" si="286"/>
        <v>0</v>
      </c>
      <c r="N688" s="38">
        <f t="shared" si="286"/>
        <v>0</v>
      </c>
      <c r="O688" s="38">
        <f t="shared" ca="1" si="283"/>
        <v>0</v>
      </c>
      <c r="P688" s="38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" hidden="1">
      <c r="A689" s="564"/>
      <c r="B689" s="569"/>
      <c r="C689" s="565"/>
      <c r="D689" s="566"/>
      <c r="E689" s="565" t="s">
        <v>185</v>
      </c>
      <c r="F689" s="565"/>
      <c r="G689" s="567"/>
      <c r="H689" s="164" t="s">
        <v>12</v>
      </c>
      <c r="I689" s="44"/>
      <c r="J689" s="44"/>
      <c r="K689" s="45"/>
      <c r="L689" s="45">
        <v>0</v>
      </c>
      <c r="M689" s="45">
        <v>0</v>
      </c>
      <c r="N689" s="45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" hidden="1">
      <c r="A690" s="564"/>
      <c r="B690" s="569"/>
      <c r="C690" s="565"/>
      <c r="D690" s="566"/>
      <c r="E690" s="565" t="s">
        <v>186</v>
      </c>
      <c r="F690" s="565"/>
      <c r="G690" s="567"/>
      <c r="H690" s="164" t="s">
        <v>12</v>
      </c>
      <c r="I690" s="44"/>
      <c r="J690" s="44"/>
      <c r="K690" s="45"/>
      <c r="L690" s="45">
        <f ca="1">IFERROR(__xludf.DUMMYFUNCTION("IMPORTRANGE(""https://docs.google.com/spreadsheets/d/1QqKyyYR6Q21VydFLVH3TRQUabQu_ym0Zz7PgGX0-kHA/edit?usp=sharing"",""แผน!HW82"")"),0)</f>
        <v>0</v>
      </c>
      <c r="M690" s="45">
        <v>0</v>
      </c>
      <c r="N690" s="45">
        <f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" hidden="1">
      <c r="A691" s="540"/>
      <c r="B691" s="541"/>
      <c r="C691" s="542"/>
      <c r="D691" s="542"/>
      <c r="E691" s="542"/>
      <c r="F691" s="542" t="s">
        <v>187</v>
      </c>
      <c r="G691" s="186"/>
      <c r="H691" s="160" t="s">
        <v>12</v>
      </c>
      <c r="I691" s="37"/>
      <c r="J691" s="37"/>
      <c r="K691" s="38"/>
      <c r="L691" s="38"/>
      <c r="M691" s="38"/>
      <c r="N691" s="270"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" hidden="1">
      <c r="A692" s="540"/>
      <c r="B692" s="541"/>
      <c r="C692" s="542"/>
      <c r="D692" s="542"/>
      <c r="E692" s="542"/>
      <c r="F692" s="542" t="s">
        <v>188</v>
      </c>
      <c r="G692" s="186"/>
      <c r="H692" s="160" t="s">
        <v>12</v>
      </c>
      <c r="I692" s="37"/>
      <c r="J692" s="37"/>
      <c r="K692" s="38"/>
      <c r="L692" s="38"/>
      <c r="M692" s="38"/>
      <c r="N692" s="270"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" hidden="1">
      <c r="A693" s="540"/>
      <c r="B693" s="541"/>
      <c r="C693" s="542"/>
      <c r="D693" s="542"/>
      <c r="E693" s="542"/>
      <c r="F693" s="542" t="s">
        <v>189</v>
      </c>
      <c r="G693" s="186"/>
      <c r="H693" s="160" t="s">
        <v>12</v>
      </c>
      <c r="I693" s="37"/>
      <c r="J693" s="37"/>
      <c r="K693" s="38"/>
      <c r="L693" s="38"/>
      <c r="M693" s="38"/>
      <c r="N693" s="270"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" hidden="1">
      <c r="A694" s="540"/>
      <c r="B694" s="541"/>
      <c r="C694" s="542"/>
      <c r="D694" s="542"/>
      <c r="E694" s="542"/>
      <c r="F694" s="542" t="s">
        <v>190</v>
      </c>
      <c r="G694" s="186"/>
      <c r="H694" s="160" t="s">
        <v>12</v>
      </c>
      <c r="I694" s="37"/>
      <c r="J694" s="37"/>
      <c r="K694" s="38"/>
      <c r="L694" s="38"/>
      <c r="M694" s="38"/>
      <c r="N694" s="270">
        <v>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" hidden="1">
      <c r="A695" s="562"/>
      <c r="B695" s="541"/>
      <c r="C695" s="542"/>
      <c r="D695" s="570" t="s">
        <v>21</v>
      </c>
      <c r="E695" s="542"/>
      <c r="F695" s="542"/>
      <c r="G695" s="186"/>
      <c r="H695" s="167" t="s">
        <v>12</v>
      </c>
      <c r="I695" s="161"/>
      <c r="J695" s="161"/>
      <c r="K695" s="162"/>
      <c r="L695" s="38">
        <f t="shared" ref="L695:N695" si="287">L696+L697</f>
        <v>0</v>
      </c>
      <c r="M695" s="38">
        <f t="shared" si="287"/>
        <v>0</v>
      </c>
      <c r="N695" s="38">
        <f t="shared" si="287"/>
        <v>0</v>
      </c>
      <c r="O695" s="38">
        <f t="shared" ref="O695:O697" si="288">IF(L695&gt;0,N695*100/L695,0)</f>
        <v>0</v>
      </c>
      <c r="P695" s="38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" hidden="1">
      <c r="A696" s="564"/>
      <c r="B696" s="569"/>
      <c r="C696" s="565"/>
      <c r="D696" s="565"/>
      <c r="E696" s="565" t="s">
        <v>18</v>
      </c>
      <c r="F696" s="565"/>
      <c r="G696" s="567"/>
      <c r="H696" s="164" t="s">
        <v>12</v>
      </c>
      <c r="I696" s="165"/>
      <c r="J696" s="165"/>
      <c r="K696" s="166"/>
      <c r="L696" s="45">
        <v>0</v>
      </c>
      <c r="M696" s="45">
        <v>0</v>
      </c>
      <c r="N696" s="45">
        <v>0</v>
      </c>
      <c r="O696" s="45">
        <f t="shared" si="288"/>
        <v>0</v>
      </c>
      <c r="P696" s="45">
        <f t="shared" si="289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" hidden="1">
      <c r="A697" s="564"/>
      <c r="B697" s="569"/>
      <c r="C697" s="565"/>
      <c r="D697" s="565"/>
      <c r="E697" s="565" t="s">
        <v>19</v>
      </c>
      <c r="F697" s="565"/>
      <c r="G697" s="567"/>
      <c r="H697" s="168" t="s">
        <v>12</v>
      </c>
      <c r="I697" s="165"/>
      <c r="J697" s="165"/>
      <c r="K697" s="166"/>
      <c r="L697" s="45">
        <v>0</v>
      </c>
      <c r="M697" s="45">
        <v>0</v>
      </c>
      <c r="N697" s="45">
        <v>0</v>
      </c>
      <c r="O697" s="45">
        <f t="shared" si="288"/>
        <v>0</v>
      </c>
      <c r="P697" s="45">
        <f t="shared" si="289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" hidden="1">
      <c r="A698" s="571"/>
      <c r="B698" s="572"/>
      <c r="C698" s="542" t="s">
        <v>16</v>
      </c>
      <c r="D698" s="816" t="s">
        <v>38</v>
      </c>
      <c r="E698" s="575"/>
      <c r="F698" s="575"/>
      <c r="G698" s="576"/>
      <c r="H698" s="174"/>
      <c r="I698" s="161"/>
      <c r="J698" s="161"/>
      <c r="K698" s="162"/>
      <c r="L698" s="162"/>
      <c r="M698" s="162"/>
      <c r="N698" s="162"/>
      <c r="O698" s="162"/>
      <c r="P698" s="162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" hidden="1">
      <c r="A699" s="689"/>
      <c r="B699" s="542"/>
      <c r="C699" s="542"/>
      <c r="D699" s="542" t="s">
        <v>295</v>
      </c>
      <c r="E699" s="542"/>
      <c r="F699" s="542"/>
      <c r="G699" s="186"/>
      <c r="H699" s="180" t="s">
        <v>46</v>
      </c>
      <c r="I699" s="702">
        <f ca="1">IFERROR(__xludf.DUMMYFUNCTION("IMPORTRANGE(""https://docs.google.com/spreadsheets/d/1QqKyyYR6Q21VydFLVH3TRQUabQu_ym0Zz7PgGX0-kHA/edit?usp=sharing"",""แผน!IC82"")"),0)</f>
        <v>0</v>
      </c>
      <c r="J699" s="37">
        <f ca="1">IFERROR(__xludf.DUMMYFUNCTION("IMPORTRANGE(""https://docs.google.com/spreadsheets/d/1XWAQStnk-4SwqDmLtmXYiTMKHgktTP8We1SCoS47DrQ/edit?usp=sharing"",""จัดที่ดิน!BB82"")"),0)</f>
        <v>0</v>
      </c>
      <c r="K699" s="38">
        <f t="shared" ref="K699:K701" ca="1" si="290">IF(I699&gt;0,J699*100/I699,0)</f>
        <v>0</v>
      </c>
      <c r="L699" s="38"/>
      <c r="M699" s="186"/>
      <c r="N699" s="70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" hidden="1">
      <c r="A700" s="689"/>
      <c r="B700" s="542"/>
      <c r="C700" s="542"/>
      <c r="D700" s="542" t="s">
        <v>296</v>
      </c>
      <c r="E700" s="542"/>
      <c r="F700" s="542"/>
      <c r="G700" s="186"/>
      <c r="H700" s="180" t="s">
        <v>35</v>
      </c>
      <c r="I700" s="702">
        <f ca="1">IFERROR(__xludf.DUMMYFUNCTION("IMPORTRANGE(""https://docs.google.com/spreadsheets/d/1QqKyyYR6Q21VydFLVH3TRQUabQu_ym0Zz7PgGX0-kHA/edit?usp=sharing"",""แผน!ID82"")"),0)</f>
        <v>0</v>
      </c>
      <c r="J700" s="37">
        <f ca="1">IFERROR(__xludf.DUMMYFUNCTION("IMPORTRANGE(""https://docs.google.com/spreadsheets/d/1XWAQStnk-4SwqDmLtmXYiTMKHgktTP8We1SCoS47DrQ/edit?usp=sharing"",""จัดที่ดิน!BD82"")"),0)</f>
        <v>0</v>
      </c>
      <c r="K700" s="38">
        <f t="shared" ca="1" si="290"/>
        <v>0</v>
      </c>
      <c r="L700" s="38"/>
      <c r="M700" s="186"/>
      <c r="N700" s="70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" hidden="1">
      <c r="A701" s="689"/>
      <c r="B701" s="542"/>
      <c r="C701" s="542"/>
      <c r="D701" s="542" t="s">
        <v>297</v>
      </c>
      <c r="E701" s="542"/>
      <c r="F701" s="542"/>
      <c r="G701" s="186"/>
      <c r="H701" s="188" t="s">
        <v>46</v>
      </c>
      <c r="I701" s="704">
        <f ca="1">IFERROR(__xludf.DUMMYFUNCTION("IMPORTRANGE(""https://docs.google.com/spreadsheets/d/1QqKyyYR6Q21VydFLVH3TRQUabQu_ym0Zz7PgGX0-kHA/edit?usp=sharing"",""แผน!IE82"")"),0)</f>
        <v>0</v>
      </c>
      <c r="J701" s="190">
        <f>J704+J707</f>
        <v>0</v>
      </c>
      <c r="K701" s="191">
        <f t="shared" ca="1" si="290"/>
        <v>0</v>
      </c>
      <c r="L701" s="38"/>
      <c r="M701" s="186"/>
      <c r="N701" s="70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" hidden="1">
      <c r="A702" s="689"/>
      <c r="B702" s="542"/>
      <c r="C702" s="542"/>
      <c r="D702" s="542"/>
      <c r="E702" s="542" t="s">
        <v>298</v>
      </c>
      <c r="F702" s="542"/>
      <c r="G702" s="186"/>
      <c r="H702" s="180" t="s">
        <v>35</v>
      </c>
      <c r="I702" s="702"/>
      <c r="J702" s="181">
        <v>0</v>
      </c>
      <c r="K702" s="38"/>
      <c r="L702" s="38"/>
      <c r="M702" s="186"/>
      <c r="N702" s="70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" hidden="1">
      <c r="A703" s="689"/>
      <c r="B703" s="542"/>
      <c r="C703" s="542"/>
      <c r="D703" s="542"/>
      <c r="E703" s="542"/>
      <c r="F703" s="542"/>
      <c r="G703" s="186"/>
      <c r="H703" s="180" t="s">
        <v>34</v>
      </c>
      <c r="I703" s="702"/>
      <c r="J703" s="181">
        <v>0</v>
      </c>
      <c r="K703" s="38"/>
      <c r="L703" s="38"/>
      <c r="M703" s="186"/>
      <c r="N703" s="70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" hidden="1">
      <c r="A704" s="689"/>
      <c r="B704" s="542"/>
      <c r="C704" s="542"/>
      <c r="D704" s="542"/>
      <c r="E704" s="542"/>
      <c r="F704" s="542"/>
      <c r="G704" s="186"/>
      <c r="H704" s="180" t="s">
        <v>46</v>
      </c>
      <c r="I704" s="702">
        <f ca="1">IFERROR(__xludf.DUMMYFUNCTION("IMPORTRANGE(""https://docs.google.com/spreadsheets/d/1QqKyyYR6Q21VydFLVH3TRQUabQu_ym0Zz7PgGX0-kHA/edit?usp=sharing"",""แผน!IF82"")"),0)</f>
        <v>0</v>
      </c>
      <c r="J704" s="181">
        <v>0</v>
      </c>
      <c r="K704" s="38"/>
      <c r="L704" s="38"/>
      <c r="M704" s="186"/>
      <c r="N704" s="70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" hidden="1">
      <c r="A705" s="689"/>
      <c r="B705" s="542"/>
      <c r="C705" s="542"/>
      <c r="D705" s="542"/>
      <c r="E705" s="542" t="s">
        <v>299</v>
      </c>
      <c r="F705" s="542"/>
      <c r="G705" s="186"/>
      <c r="H705" s="180" t="s">
        <v>35</v>
      </c>
      <c r="I705" s="702"/>
      <c r="J705" s="181">
        <v>0</v>
      </c>
      <c r="K705" s="38"/>
      <c r="L705" s="38"/>
      <c r="M705" s="186"/>
      <c r="N705" s="70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" hidden="1">
      <c r="A706" s="689"/>
      <c r="B706" s="542"/>
      <c r="C706" s="542"/>
      <c r="D706" s="542"/>
      <c r="E706" s="542"/>
      <c r="F706" s="542"/>
      <c r="G706" s="186"/>
      <c r="H706" s="180" t="s">
        <v>34</v>
      </c>
      <c r="I706" s="702"/>
      <c r="J706" s="181">
        <v>0</v>
      </c>
      <c r="K706" s="38"/>
      <c r="L706" s="38"/>
      <c r="M706" s="186"/>
      <c r="N706" s="70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" hidden="1">
      <c r="A707" s="689"/>
      <c r="B707" s="542"/>
      <c r="C707" s="542"/>
      <c r="D707" s="542"/>
      <c r="E707" s="542"/>
      <c r="F707" s="542"/>
      <c r="G707" s="186"/>
      <c r="H707" s="180" t="s">
        <v>46</v>
      </c>
      <c r="I707" s="702">
        <f ca="1">IFERROR(__xludf.DUMMYFUNCTION("IMPORTRANGE(""https://docs.google.com/spreadsheets/d/1QqKyyYR6Q21VydFLVH3TRQUabQu_ym0Zz7PgGX0-kHA/edit?usp=sharing"",""แผน!IG82"")"),0)</f>
        <v>0</v>
      </c>
      <c r="J707" s="181">
        <v>0</v>
      </c>
      <c r="K707" s="38"/>
      <c r="L707" s="38"/>
      <c r="M707" s="186"/>
      <c r="N707" s="70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" hidden="1">
      <c r="A708" s="689"/>
      <c r="B708" s="542"/>
      <c r="C708" s="542"/>
      <c r="D708" s="635" t="s">
        <v>300</v>
      </c>
      <c r="E708" s="542"/>
      <c r="F708" s="542"/>
      <c r="G708" s="186"/>
      <c r="H708" s="188" t="s">
        <v>46</v>
      </c>
      <c r="I708" s="704">
        <f ca="1">IFERROR(__xludf.DUMMYFUNCTION("IMPORTRANGE(""https://docs.google.com/spreadsheets/d/1QqKyyYR6Q21VydFLVH3TRQUabQu_ym0Zz7PgGX0-kHA/edit?usp=sharing"",""แผน!IH82"")"),0)</f>
        <v>0</v>
      </c>
      <c r="J708" s="190">
        <f>J714+J717</f>
        <v>0</v>
      </c>
      <c r="K708" s="191">
        <f ca="1">IF(I708&gt;0,J708*100/I708,0)</f>
        <v>0</v>
      </c>
      <c r="L708" s="38"/>
      <c r="M708" s="186"/>
      <c r="N708" s="70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" hidden="1">
      <c r="A709" s="689"/>
      <c r="B709" s="542"/>
      <c r="C709" s="542"/>
      <c r="D709" s="542"/>
      <c r="E709" s="542" t="s">
        <v>301</v>
      </c>
      <c r="F709" s="542"/>
      <c r="G709" s="186"/>
      <c r="H709" s="180" t="s">
        <v>34</v>
      </c>
      <c r="I709" s="702"/>
      <c r="J709" s="181">
        <v>0</v>
      </c>
      <c r="K709" s="38"/>
      <c r="L709" s="703"/>
      <c r="M709" s="186"/>
      <c r="N709" s="70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" hidden="1">
      <c r="A710" s="689"/>
      <c r="B710" s="542"/>
      <c r="C710" s="542"/>
      <c r="D710" s="542"/>
      <c r="E710" s="542"/>
      <c r="F710" s="542"/>
      <c r="G710" s="186"/>
      <c r="H710" s="180" t="s">
        <v>46</v>
      </c>
      <c r="I710" s="702"/>
      <c r="J710" s="181">
        <v>0</v>
      </c>
      <c r="K710" s="38"/>
      <c r="L710" s="703"/>
      <c r="M710" s="186"/>
      <c r="N710" s="70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" hidden="1">
      <c r="A711" s="689"/>
      <c r="B711" s="542"/>
      <c r="C711" s="542"/>
      <c r="D711" s="542"/>
      <c r="E711" s="542" t="s">
        <v>302</v>
      </c>
      <c r="F711" s="542"/>
      <c r="G711" s="186"/>
      <c r="H711" s="174"/>
      <c r="I711" s="702"/>
      <c r="J711" s="37"/>
      <c r="K711" s="38"/>
      <c r="L711" s="703"/>
      <c r="M711" s="186"/>
      <c r="N711" s="70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" hidden="1">
      <c r="A712" s="689"/>
      <c r="B712" s="542"/>
      <c r="C712" s="542"/>
      <c r="D712" s="542"/>
      <c r="E712" s="542"/>
      <c r="F712" s="542" t="s">
        <v>303</v>
      </c>
      <c r="G712" s="186"/>
      <c r="H712" s="180" t="s">
        <v>35</v>
      </c>
      <c r="I712" s="702"/>
      <c r="J712" s="181">
        <v>0</v>
      </c>
      <c r="K712" s="38"/>
      <c r="L712" s="703"/>
      <c r="M712" s="186"/>
      <c r="N712" s="70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" hidden="1">
      <c r="A713" s="689"/>
      <c r="B713" s="542"/>
      <c r="C713" s="542"/>
      <c r="D713" s="542"/>
      <c r="E713" s="542"/>
      <c r="F713" s="542"/>
      <c r="G713" s="186"/>
      <c r="H713" s="180" t="s">
        <v>34</v>
      </c>
      <c r="I713" s="702"/>
      <c r="J713" s="181">
        <v>0</v>
      </c>
      <c r="K713" s="38"/>
      <c r="L713" s="703"/>
      <c r="M713" s="186"/>
      <c r="N713" s="70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" hidden="1">
      <c r="A714" s="689"/>
      <c r="B714" s="542"/>
      <c r="C714" s="542"/>
      <c r="D714" s="542"/>
      <c r="E714" s="542"/>
      <c r="F714" s="542"/>
      <c r="G714" s="186"/>
      <c r="H714" s="180" t="s">
        <v>46</v>
      </c>
      <c r="I714" s="702"/>
      <c r="J714" s="181">
        <v>0</v>
      </c>
      <c r="K714" s="38"/>
      <c r="L714" s="703"/>
      <c r="M714" s="186"/>
      <c r="N714" s="70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" hidden="1">
      <c r="A715" s="689"/>
      <c r="B715" s="542"/>
      <c r="C715" s="542"/>
      <c r="D715" s="542"/>
      <c r="E715" s="542"/>
      <c r="F715" s="542" t="s">
        <v>304</v>
      </c>
      <c r="G715" s="186"/>
      <c r="H715" s="180" t="s">
        <v>35</v>
      </c>
      <c r="I715" s="702"/>
      <c r="J715" s="181">
        <v>0</v>
      </c>
      <c r="K715" s="38"/>
      <c r="L715" s="703"/>
      <c r="M715" s="186"/>
      <c r="N715" s="70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" hidden="1">
      <c r="A716" s="689"/>
      <c r="B716" s="542"/>
      <c r="C716" s="542"/>
      <c r="D716" s="542"/>
      <c r="E716" s="542"/>
      <c r="F716" s="542"/>
      <c r="G716" s="186"/>
      <c r="H716" s="180" t="s">
        <v>34</v>
      </c>
      <c r="I716" s="702"/>
      <c r="J716" s="181">
        <v>0</v>
      </c>
      <c r="K716" s="38"/>
      <c r="L716" s="703"/>
      <c r="M716" s="186"/>
      <c r="N716" s="70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" hidden="1">
      <c r="A717" s="689"/>
      <c r="B717" s="542"/>
      <c r="C717" s="542"/>
      <c r="D717" s="542"/>
      <c r="E717" s="542"/>
      <c r="F717" s="542"/>
      <c r="G717" s="186"/>
      <c r="H717" s="180" t="s">
        <v>46</v>
      </c>
      <c r="I717" s="702"/>
      <c r="J717" s="181">
        <v>0</v>
      </c>
      <c r="K717" s="38"/>
      <c r="L717" s="703"/>
      <c r="M717" s="186"/>
      <c r="N717" s="70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" hidden="1">
      <c r="A718" s="689"/>
      <c r="B718" s="542"/>
      <c r="C718" s="542"/>
      <c r="D718" s="542" t="s">
        <v>305</v>
      </c>
      <c r="E718" s="542"/>
      <c r="F718" s="542"/>
      <c r="G718" s="186"/>
      <c r="H718" s="180" t="s">
        <v>35</v>
      </c>
      <c r="I718" s="702"/>
      <c r="J718" s="37">
        <f ca="1">IFERROR(__xludf.DUMMYFUNCTION("IMPORTRANGE(""https://docs.google.com/spreadsheets/d/1XWAQStnk-4SwqDmLtmXYiTMKHgktTP8We1SCoS47DrQ/edit?usp=sharing"",""จัดที่ดิน!BF82"")"),0)</f>
        <v>0</v>
      </c>
      <c r="K718" s="38"/>
      <c r="L718" s="38"/>
      <c r="M718" s="186"/>
      <c r="N718" s="70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" hidden="1">
      <c r="A719" s="689"/>
      <c r="B719" s="542"/>
      <c r="C719" s="542"/>
      <c r="D719" s="542"/>
      <c r="E719" s="542"/>
      <c r="F719" s="542"/>
      <c r="G719" s="186"/>
      <c r="H719" s="180" t="s">
        <v>34</v>
      </c>
      <c r="I719" s="702"/>
      <c r="J719" s="37">
        <f ca="1">IFERROR(__xludf.DUMMYFUNCTION("IMPORTRANGE(""https://docs.google.com/spreadsheets/d/1XWAQStnk-4SwqDmLtmXYiTMKHgktTP8We1SCoS47DrQ/edit?usp=sharing"",""จัดที่ดิน!BG82"")"),0)</f>
        <v>0</v>
      </c>
      <c r="K719" s="38"/>
      <c r="L719" s="703"/>
      <c r="M719" s="186"/>
      <c r="N719" s="70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" hidden="1">
      <c r="A720" s="689"/>
      <c r="B720" s="542"/>
      <c r="C720" s="542"/>
      <c r="D720" s="542"/>
      <c r="E720" s="542"/>
      <c r="F720" s="542"/>
      <c r="G720" s="186"/>
      <c r="H720" s="180" t="s">
        <v>46</v>
      </c>
      <c r="I720" s="702">
        <f ca="1">IFERROR(__xludf.DUMMYFUNCTION("IMPORTRANGE(""https://docs.google.com/spreadsheets/d/1QqKyyYR6Q21VydFLVH3TRQUabQu_ym0Zz7PgGX0-kHA/edit?usp=sharing"",""แผน!II82"")"),0)</f>
        <v>0</v>
      </c>
      <c r="J720" s="37">
        <f ca="1">IFERROR(__xludf.DUMMYFUNCTION("IMPORTRANGE(""https://docs.google.com/spreadsheets/d/1XWAQStnk-4SwqDmLtmXYiTMKHgktTP8We1SCoS47DrQ/edit?usp=sharing"",""จัดที่ดิน!BH82"")"),0)</f>
        <v>0</v>
      </c>
      <c r="K720" s="38">
        <f t="shared" ref="K720:K723" ca="1" si="291">IF(I720&gt;0,J720*100/I720,0)</f>
        <v>0</v>
      </c>
      <c r="L720" s="703"/>
      <c r="M720" s="186"/>
      <c r="N720" s="70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" hidden="1">
      <c r="A721" s="689"/>
      <c r="B721" s="542"/>
      <c r="C721" s="542"/>
      <c r="D721" s="542" t="s">
        <v>306</v>
      </c>
      <c r="E721" s="542"/>
      <c r="F721" s="542"/>
      <c r="G721" s="186"/>
      <c r="H721" s="188" t="s">
        <v>35</v>
      </c>
      <c r="I721" s="704">
        <f ca="1">IFERROR(__xludf.DUMMYFUNCTION("IMPORTRANGE(""https://docs.google.com/spreadsheets/d/1QqKyyYR6Q21VydFLVH3TRQUabQu_ym0Zz7PgGX0-kHA/edit?usp=sharing"",""แผน!IJ82"")"),0)</f>
        <v>0</v>
      </c>
      <c r="J721" s="190">
        <f ca="1">J723+J726</f>
        <v>0</v>
      </c>
      <c r="K721" s="191">
        <f t="shared" ca="1" si="291"/>
        <v>0</v>
      </c>
      <c r="L721" s="703"/>
      <c r="M721" s="186"/>
      <c r="N721" s="70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" hidden="1">
      <c r="A722" s="689"/>
      <c r="B722" s="542"/>
      <c r="C722" s="542"/>
      <c r="D722" s="542"/>
      <c r="E722" s="542"/>
      <c r="F722" s="542"/>
      <c r="G722" s="186"/>
      <c r="H722" s="188" t="s">
        <v>46</v>
      </c>
      <c r="I722" s="704">
        <f ca="1">IFERROR(__xludf.DUMMYFUNCTION("IMPORTRANGE(""https://docs.google.com/spreadsheets/d/1QqKyyYR6Q21VydFLVH3TRQUabQu_ym0Zz7PgGX0-kHA/edit?usp=sharing"",""แผน!IK82"")"),0)</f>
        <v>0</v>
      </c>
      <c r="J722" s="190">
        <f ca="1">J725+J728</f>
        <v>0</v>
      </c>
      <c r="K722" s="191">
        <f t="shared" ca="1" si="291"/>
        <v>0</v>
      </c>
      <c r="L722" s="38"/>
      <c r="M722" s="186"/>
      <c r="N722" s="70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" hidden="1">
      <c r="A723" s="689"/>
      <c r="B723" s="542"/>
      <c r="C723" s="542"/>
      <c r="D723" s="542"/>
      <c r="E723" s="542" t="s">
        <v>307</v>
      </c>
      <c r="F723" s="542"/>
      <c r="G723" s="186"/>
      <c r="H723" s="180" t="s">
        <v>35</v>
      </c>
      <c r="I723" s="702">
        <f ca="1">IFERROR(__xludf.DUMMYFUNCTION("IMPORTRANGE(""https://docs.google.com/spreadsheets/d/1QqKyyYR6Q21VydFLVH3TRQUabQu_ym0Zz7PgGX0-kHA/edit?usp=sharing"",""แผน!IL82"")"),0)</f>
        <v>0</v>
      </c>
      <c r="J723" s="37">
        <f ca="1">IFERROR(__xludf.DUMMYFUNCTION("IMPORTRANGE(""https://docs.google.com/spreadsheets/d/1XWAQStnk-4SwqDmLtmXYiTMKHgktTP8We1SCoS47DrQ/edit?usp=sharing"",""จัดที่ดิน!BM82"")"),0)</f>
        <v>0</v>
      </c>
      <c r="K723" s="38">
        <f t="shared" ca="1" si="291"/>
        <v>0</v>
      </c>
      <c r="L723" s="38"/>
      <c r="M723" s="186"/>
      <c r="N723" s="70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" hidden="1">
      <c r="A724" s="689"/>
      <c r="B724" s="542"/>
      <c r="C724" s="542"/>
      <c r="D724" s="542"/>
      <c r="E724" s="542"/>
      <c r="F724" s="542"/>
      <c r="G724" s="186"/>
      <c r="H724" s="180" t="s">
        <v>34</v>
      </c>
      <c r="I724" s="702"/>
      <c r="J724" s="37">
        <f ca="1">IFERROR(__xludf.DUMMYFUNCTION("IMPORTRANGE(""https://docs.google.com/spreadsheets/d/1XWAQStnk-4SwqDmLtmXYiTMKHgktTP8We1SCoS47DrQ/edit?usp=sharing"",""จัดที่ดิน!BN82"")"),0)</f>
        <v>0</v>
      </c>
      <c r="K724" s="38"/>
      <c r="L724" s="703"/>
      <c r="M724" s="186"/>
      <c r="N724" s="70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" hidden="1">
      <c r="A725" s="689"/>
      <c r="B725" s="542"/>
      <c r="C725" s="542"/>
      <c r="D725" s="542"/>
      <c r="E725" s="542"/>
      <c r="F725" s="542"/>
      <c r="G725" s="186"/>
      <c r="H725" s="180" t="s">
        <v>46</v>
      </c>
      <c r="I725" s="702">
        <f ca="1">IFERROR(__xludf.DUMMYFUNCTION("IMPORTRANGE(""https://docs.google.com/spreadsheets/d/1QqKyyYR6Q21VydFLVH3TRQUabQu_ym0Zz7PgGX0-kHA/edit?usp=sharing"",""แผน!IM82"")"),0)</f>
        <v>0</v>
      </c>
      <c r="J725" s="37">
        <f ca="1">IFERROR(__xludf.DUMMYFUNCTION("IMPORTRANGE(""https://docs.google.com/spreadsheets/d/1XWAQStnk-4SwqDmLtmXYiTMKHgktTP8We1SCoS47DrQ/edit?usp=sharing"",""จัดที่ดิน!BO82"")"),0)</f>
        <v>0</v>
      </c>
      <c r="K725" s="38">
        <f t="shared" ref="K725:K726" ca="1" si="292">IF(I725&gt;0,J725*100/I725,0)</f>
        <v>0</v>
      </c>
      <c r="L725" s="703"/>
      <c r="M725" s="186"/>
      <c r="N725" s="70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" hidden="1">
      <c r="A726" s="689"/>
      <c r="B726" s="542"/>
      <c r="C726" s="542"/>
      <c r="D726" s="542"/>
      <c r="E726" s="542" t="s">
        <v>308</v>
      </c>
      <c r="F726" s="542"/>
      <c r="G726" s="186"/>
      <c r="H726" s="180" t="s">
        <v>35</v>
      </c>
      <c r="I726" s="702">
        <f ca="1">IFERROR(__xludf.DUMMYFUNCTION("IMPORTRANGE(""https://docs.google.com/spreadsheets/d/1QqKyyYR6Q21VydFLVH3TRQUabQu_ym0Zz7PgGX0-kHA/edit?usp=sharing"",""แผน!IN82"")"),0)</f>
        <v>0</v>
      </c>
      <c r="J726" s="37">
        <f ca="1">IFERROR(__xludf.DUMMYFUNCTION("IMPORTRANGE(""https://docs.google.com/spreadsheets/d/1XWAQStnk-4SwqDmLtmXYiTMKHgktTP8We1SCoS47DrQ/edit?usp=sharing"",""จัดที่ดิน!BR82"")"),0)</f>
        <v>0</v>
      </c>
      <c r="K726" s="38">
        <f t="shared" ca="1" si="292"/>
        <v>0</v>
      </c>
      <c r="L726" s="38"/>
      <c r="M726" s="186"/>
      <c r="N726" s="70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" hidden="1">
      <c r="A727" s="689"/>
      <c r="B727" s="542"/>
      <c r="C727" s="542"/>
      <c r="D727" s="542"/>
      <c r="E727" s="542"/>
      <c r="F727" s="542"/>
      <c r="G727" s="186"/>
      <c r="H727" s="180" t="s">
        <v>34</v>
      </c>
      <c r="I727" s="702"/>
      <c r="J727" s="37">
        <f ca="1">IFERROR(__xludf.DUMMYFUNCTION("IMPORTRANGE(""https://docs.google.com/spreadsheets/d/1XWAQStnk-4SwqDmLtmXYiTMKHgktTP8We1SCoS47DrQ/edit?usp=sharing"",""จัดที่ดิน!BS82"")"),0)</f>
        <v>0</v>
      </c>
      <c r="K727" s="38"/>
      <c r="L727" s="703"/>
      <c r="M727" s="186"/>
      <c r="N727" s="70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" hidden="1">
      <c r="A728" s="689"/>
      <c r="B728" s="542"/>
      <c r="C728" s="542"/>
      <c r="D728" s="542"/>
      <c r="E728" s="542"/>
      <c r="F728" s="542"/>
      <c r="G728" s="186"/>
      <c r="H728" s="180" t="s">
        <v>46</v>
      </c>
      <c r="I728" s="702">
        <f ca="1">IFERROR(__xludf.DUMMYFUNCTION("IMPORTRANGE(""https://docs.google.com/spreadsheets/d/1QqKyyYR6Q21VydFLVH3TRQUabQu_ym0Zz7PgGX0-kHA/edit?usp=sharing"",""แผน!IO82"")"),0)</f>
        <v>0</v>
      </c>
      <c r="J728" s="37">
        <f ca="1">IFERROR(__xludf.DUMMYFUNCTION("IMPORTRANGE(""https://docs.google.com/spreadsheets/d/1XWAQStnk-4SwqDmLtmXYiTMKHgktTP8We1SCoS47DrQ/edit?usp=sharing"",""จัดที่ดิน!BT82"")"),0)</f>
        <v>0</v>
      </c>
      <c r="K728" s="38">
        <f t="shared" ref="K728:K729" ca="1" si="293">IF(I728&gt;0,J728*100/I728,0)</f>
        <v>0</v>
      </c>
      <c r="L728" s="703"/>
      <c r="M728" s="186"/>
      <c r="N728" s="70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" hidden="1">
      <c r="A729" s="689"/>
      <c r="B729" s="542"/>
      <c r="C729" s="542"/>
      <c r="D729" s="542" t="s">
        <v>309</v>
      </c>
      <c r="E729" s="542"/>
      <c r="F729" s="542"/>
      <c r="G729" s="186"/>
      <c r="H729" s="188" t="s">
        <v>46</v>
      </c>
      <c r="I729" s="704">
        <f ca="1">IFERROR(__xludf.DUMMYFUNCTION("IMPORTRANGE(""https://docs.google.com/spreadsheets/d/1QqKyyYR6Q21VydFLVH3TRQUabQu_ym0Zz7PgGX0-kHA/edit?usp=sharing"",""แผน!IP82"")"),0)</f>
        <v>0</v>
      </c>
      <c r="J729" s="190">
        <f>J732+J735</f>
        <v>0</v>
      </c>
      <c r="K729" s="191">
        <f t="shared" ca="1" si="293"/>
        <v>0</v>
      </c>
      <c r="L729" s="38"/>
      <c r="M729" s="186"/>
      <c r="N729" s="70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" hidden="1">
      <c r="A730" s="689"/>
      <c r="B730" s="542"/>
      <c r="C730" s="542"/>
      <c r="D730" s="542"/>
      <c r="E730" s="542" t="s">
        <v>310</v>
      </c>
      <c r="F730" s="542"/>
      <c r="G730" s="186"/>
      <c r="H730" s="180" t="s">
        <v>35</v>
      </c>
      <c r="I730" s="702"/>
      <c r="J730" s="181">
        <v>0</v>
      </c>
      <c r="K730" s="38"/>
      <c r="L730" s="703"/>
      <c r="M730" s="38"/>
      <c r="N730" s="70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" hidden="1">
      <c r="A731" s="689"/>
      <c r="B731" s="542"/>
      <c r="C731" s="542"/>
      <c r="D731" s="542"/>
      <c r="E731" s="542"/>
      <c r="F731" s="542"/>
      <c r="G731" s="186"/>
      <c r="H731" s="180" t="s">
        <v>34</v>
      </c>
      <c r="I731" s="702"/>
      <c r="J731" s="181">
        <v>0</v>
      </c>
      <c r="K731" s="38"/>
      <c r="L731" s="703"/>
      <c r="M731" s="38"/>
      <c r="N731" s="70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" hidden="1">
      <c r="A732" s="689"/>
      <c r="B732" s="542"/>
      <c r="C732" s="542"/>
      <c r="D732" s="542"/>
      <c r="E732" s="542"/>
      <c r="F732" s="542"/>
      <c r="G732" s="186"/>
      <c r="H732" s="180" t="s">
        <v>46</v>
      </c>
      <c r="I732" s="702"/>
      <c r="J732" s="181">
        <v>0</v>
      </c>
      <c r="K732" s="38"/>
      <c r="L732" s="703"/>
      <c r="M732" s="38"/>
      <c r="N732" s="70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" hidden="1">
      <c r="A733" s="689"/>
      <c r="B733" s="542"/>
      <c r="C733" s="542"/>
      <c r="D733" s="542"/>
      <c r="E733" s="542" t="s">
        <v>311</v>
      </c>
      <c r="F733" s="542"/>
      <c r="G733" s="186"/>
      <c r="H733" s="180" t="s">
        <v>35</v>
      </c>
      <c r="I733" s="702"/>
      <c r="J733" s="181">
        <v>0</v>
      </c>
      <c r="K733" s="38"/>
      <c r="L733" s="703"/>
      <c r="M733" s="38"/>
      <c r="N733" s="70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" hidden="1">
      <c r="A734" s="689"/>
      <c r="B734" s="542"/>
      <c r="C734" s="542"/>
      <c r="D734" s="542"/>
      <c r="E734" s="542"/>
      <c r="F734" s="542"/>
      <c r="G734" s="186"/>
      <c r="H734" s="180" t="s">
        <v>34</v>
      </c>
      <c r="I734" s="702"/>
      <c r="J734" s="181">
        <v>0</v>
      </c>
      <c r="K734" s="38"/>
      <c r="L734" s="703"/>
      <c r="M734" s="38"/>
      <c r="N734" s="70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" hidden="1">
      <c r="A735" s="705"/>
      <c r="B735" s="706" t="s">
        <v>312</v>
      </c>
      <c r="C735" s="399"/>
      <c r="D735" s="399"/>
      <c r="E735" s="399"/>
      <c r="F735" s="399"/>
      <c r="G735" s="680"/>
      <c r="H735" s="400" t="s">
        <v>46</v>
      </c>
      <c r="I735" s="707"/>
      <c r="J735" s="57">
        <v>0</v>
      </c>
      <c r="K735" s="475"/>
      <c r="L735" s="708"/>
      <c r="M735" s="475"/>
      <c r="N735" s="708"/>
      <c r="O735" s="475"/>
      <c r="P735" s="475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" hidden="1">
      <c r="A736" s="709">
        <v>9</v>
      </c>
      <c r="B736" s="710" t="s">
        <v>313</v>
      </c>
      <c r="C736" s="711"/>
      <c r="D736" s="711"/>
      <c r="E736" s="711"/>
      <c r="F736" s="711"/>
      <c r="G736" s="712"/>
      <c r="H736" s="713" t="s">
        <v>46</v>
      </c>
      <c r="I736" s="714"/>
      <c r="J736" s="714">
        <f>J751</f>
        <v>0</v>
      </c>
      <c r="K736" s="715">
        <f>IF(I736&gt;0,J736*100/I736,0)</f>
        <v>0</v>
      </c>
      <c r="L736" s="716"/>
      <c r="M736" s="716"/>
      <c r="N736" s="716"/>
      <c r="O736" s="716"/>
      <c r="P736" s="716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" hidden="1">
      <c r="A737" s="564"/>
      <c r="B737" s="565"/>
      <c r="C737" s="565" t="s">
        <v>16</v>
      </c>
      <c r="D737" s="783" t="s">
        <v>17</v>
      </c>
      <c r="E737" s="776"/>
      <c r="F737" s="776"/>
      <c r="G737" s="567"/>
      <c r="H737" s="600" t="s">
        <v>12</v>
      </c>
      <c r="I737" s="44"/>
      <c r="J737" s="44"/>
      <c r="K737" s="45"/>
      <c r="L737" s="601">
        <f t="shared" ref="L737:N737" si="294">L738+L739</f>
        <v>0</v>
      </c>
      <c r="M737" s="601">
        <f t="shared" si="294"/>
        <v>0</v>
      </c>
      <c r="N737" s="601">
        <f t="shared" si="294"/>
        <v>0</v>
      </c>
      <c r="O737" s="601">
        <f t="shared" ref="O737:O742" si="295">IF(L737&gt;0,N737*100/L737,0)</f>
        <v>0</v>
      </c>
      <c r="P737" s="601">
        <f t="shared" ref="P737:P742" si="296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" hidden="1">
      <c r="A738" s="564"/>
      <c r="B738" s="565"/>
      <c r="C738" s="565"/>
      <c r="D738" s="566"/>
      <c r="E738" s="565" t="s">
        <v>185</v>
      </c>
      <c r="F738" s="565"/>
      <c r="G738" s="567"/>
      <c r="H738" s="164" t="s">
        <v>12</v>
      </c>
      <c r="I738" s="44"/>
      <c r="J738" s="44"/>
      <c r="K738" s="45"/>
      <c r="L738" s="45">
        <f t="shared" ref="L738:N739" si="297">L741+L748</f>
        <v>0</v>
      </c>
      <c r="M738" s="45">
        <f t="shared" si="297"/>
        <v>0</v>
      </c>
      <c r="N738" s="45">
        <f t="shared" si="297"/>
        <v>0</v>
      </c>
      <c r="O738" s="45">
        <f t="shared" si="295"/>
        <v>0</v>
      </c>
      <c r="P738" s="45">
        <f t="shared" si="296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" hidden="1">
      <c r="A739" s="564"/>
      <c r="B739" s="569"/>
      <c r="C739" s="565"/>
      <c r="D739" s="566"/>
      <c r="E739" s="565" t="s">
        <v>186</v>
      </c>
      <c r="F739" s="565"/>
      <c r="G739" s="567"/>
      <c r="H739" s="164" t="s">
        <v>12</v>
      </c>
      <c r="I739" s="44"/>
      <c r="J739" s="44"/>
      <c r="K739" s="45"/>
      <c r="L739" s="45">
        <f t="shared" si="297"/>
        <v>0</v>
      </c>
      <c r="M739" s="45">
        <f t="shared" si="297"/>
        <v>0</v>
      </c>
      <c r="N739" s="45">
        <f t="shared" si="297"/>
        <v>0</v>
      </c>
      <c r="O739" s="45">
        <f t="shared" si="295"/>
        <v>0</v>
      </c>
      <c r="P739" s="45">
        <f t="shared" si="296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" hidden="1">
      <c r="A740" s="564"/>
      <c r="B740" s="569"/>
      <c r="C740" s="565"/>
      <c r="D740" s="599" t="s">
        <v>20</v>
      </c>
      <c r="E740" s="565"/>
      <c r="F740" s="565"/>
      <c r="G740" s="567"/>
      <c r="H740" s="600" t="s">
        <v>12</v>
      </c>
      <c r="I740" s="165"/>
      <c r="J740" s="165"/>
      <c r="K740" s="166"/>
      <c r="L740" s="601">
        <f t="shared" ref="L740:N740" si="298">L741+L742</f>
        <v>0</v>
      </c>
      <c r="M740" s="601">
        <f t="shared" si="298"/>
        <v>0</v>
      </c>
      <c r="N740" s="601">
        <f t="shared" si="298"/>
        <v>0</v>
      </c>
      <c r="O740" s="601">
        <f t="shared" si="295"/>
        <v>0</v>
      </c>
      <c r="P740" s="601">
        <f t="shared" si="296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" hidden="1">
      <c r="A741" s="564"/>
      <c r="B741" s="569"/>
      <c r="C741" s="565"/>
      <c r="D741" s="566"/>
      <c r="E741" s="565" t="s">
        <v>185</v>
      </c>
      <c r="F741" s="565"/>
      <c r="G741" s="567"/>
      <c r="H741" s="164" t="s">
        <v>12</v>
      </c>
      <c r="I741" s="44"/>
      <c r="J741" s="44"/>
      <c r="K741" s="45"/>
      <c r="L741" s="45">
        <v>0</v>
      </c>
      <c r="M741" s="45">
        <v>0</v>
      </c>
      <c r="N741" s="45">
        <v>0</v>
      </c>
      <c r="O741" s="45">
        <f t="shared" si="295"/>
        <v>0</v>
      </c>
      <c r="P741" s="45">
        <f t="shared" si="296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" hidden="1">
      <c r="A742" s="564"/>
      <c r="B742" s="569"/>
      <c r="C742" s="565"/>
      <c r="D742" s="566"/>
      <c r="E742" s="565" t="s">
        <v>186</v>
      </c>
      <c r="F742" s="565"/>
      <c r="G742" s="567"/>
      <c r="H742" s="164" t="s">
        <v>12</v>
      </c>
      <c r="I742" s="44"/>
      <c r="J742" s="44"/>
      <c r="K742" s="45"/>
      <c r="L742" s="45">
        <v>0</v>
      </c>
      <c r="M742" s="45">
        <v>0</v>
      </c>
      <c r="N742" s="45">
        <f>N743+N744+N745+N746</f>
        <v>0</v>
      </c>
      <c r="O742" s="45">
        <f t="shared" si="295"/>
        <v>0</v>
      </c>
      <c r="P742" s="45">
        <f t="shared" si="296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" hidden="1">
      <c r="A743" s="603"/>
      <c r="B743" s="569"/>
      <c r="C743" s="565"/>
      <c r="D743" s="565"/>
      <c r="E743" s="565"/>
      <c r="F743" s="565" t="s">
        <v>187</v>
      </c>
      <c r="G743" s="567"/>
      <c r="H743" s="164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" hidden="1">
      <c r="A744" s="603"/>
      <c r="B744" s="569"/>
      <c r="C744" s="565"/>
      <c r="D744" s="565"/>
      <c r="E744" s="565"/>
      <c r="F744" s="565" t="s">
        <v>188</v>
      </c>
      <c r="G744" s="567"/>
      <c r="H744" s="164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" hidden="1">
      <c r="A745" s="603"/>
      <c r="B745" s="569"/>
      <c r="C745" s="565"/>
      <c r="D745" s="565"/>
      <c r="E745" s="565"/>
      <c r="F745" s="565" t="s">
        <v>189</v>
      </c>
      <c r="G745" s="567"/>
      <c r="H745" s="164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" hidden="1">
      <c r="A746" s="603"/>
      <c r="B746" s="569"/>
      <c r="C746" s="565"/>
      <c r="D746" s="565"/>
      <c r="E746" s="565"/>
      <c r="F746" s="565" t="s">
        <v>190</v>
      </c>
      <c r="G746" s="567"/>
      <c r="H746" s="164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" hidden="1">
      <c r="A747" s="564"/>
      <c r="B747" s="569"/>
      <c r="C747" s="565"/>
      <c r="D747" s="599" t="s">
        <v>21</v>
      </c>
      <c r="E747" s="565"/>
      <c r="F747" s="565"/>
      <c r="G747" s="567"/>
      <c r="H747" s="718" t="s">
        <v>12</v>
      </c>
      <c r="I747" s="165"/>
      <c r="J747" s="165"/>
      <c r="K747" s="166"/>
      <c r="L747" s="601">
        <f t="shared" ref="L747:N747" si="299">L748+L749</f>
        <v>0</v>
      </c>
      <c r="M747" s="601">
        <f t="shared" si="299"/>
        <v>0</v>
      </c>
      <c r="N747" s="601">
        <f t="shared" si="299"/>
        <v>0</v>
      </c>
      <c r="O747" s="601">
        <f t="shared" ref="O747:O749" si="300">IF(L747&gt;0,N747*100/L747,0)</f>
        <v>0</v>
      </c>
      <c r="P747" s="601">
        <f t="shared" ref="P747:P749" si="301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" hidden="1">
      <c r="A748" s="564"/>
      <c r="B748" s="569"/>
      <c r="C748" s="565"/>
      <c r="D748" s="565"/>
      <c r="E748" s="565" t="s">
        <v>18</v>
      </c>
      <c r="F748" s="565"/>
      <c r="G748" s="567"/>
      <c r="H748" s="164" t="s">
        <v>12</v>
      </c>
      <c r="I748" s="165"/>
      <c r="J748" s="165"/>
      <c r="K748" s="166"/>
      <c r="L748" s="45">
        <v>0</v>
      </c>
      <c r="M748" s="45">
        <v>0</v>
      </c>
      <c r="N748" s="45">
        <v>0</v>
      </c>
      <c r="O748" s="45">
        <f t="shared" si="300"/>
        <v>0</v>
      </c>
      <c r="P748" s="45">
        <f t="shared" si="301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" hidden="1">
      <c r="A749" s="564"/>
      <c r="B749" s="569"/>
      <c r="C749" s="565"/>
      <c r="D749" s="565"/>
      <c r="E749" s="565" t="s">
        <v>19</v>
      </c>
      <c r="F749" s="565"/>
      <c r="G749" s="567"/>
      <c r="H749" s="168" t="s">
        <v>12</v>
      </c>
      <c r="I749" s="165"/>
      <c r="J749" s="165"/>
      <c r="K749" s="166"/>
      <c r="L749" s="45">
        <v>0</v>
      </c>
      <c r="M749" s="45">
        <v>0</v>
      </c>
      <c r="N749" s="45">
        <v>0</v>
      </c>
      <c r="O749" s="45">
        <f t="shared" si="300"/>
        <v>0</v>
      </c>
      <c r="P749" s="45">
        <f t="shared" si="301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" hidden="1">
      <c r="A750" s="577"/>
      <c r="B750" s="578"/>
      <c r="C750" s="565" t="s">
        <v>16</v>
      </c>
      <c r="D750" s="817" t="s">
        <v>38</v>
      </c>
      <c r="E750" s="605"/>
      <c r="F750" s="605"/>
      <c r="G750" s="606"/>
      <c r="H750" s="351"/>
      <c r="I750" s="165"/>
      <c r="J750" s="165"/>
      <c r="K750" s="166"/>
      <c r="L750" s="166"/>
      <c r="M750" s="166"/>
      <c r="N750" s="166"/>
      <c r="O750" s="166"/>
      <c r="P750" s="166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" hidden="1">
      <c r="A751" s="603"/>
      <c r="B751" s="569"/>
      <c r="C751" s="565"/>
      <c r="D751" s="565"/>
      <c r="E751" s="565" t="s">
        <v>314</v>
      </c>
      <c r="F751" s="565"/>
      <c r="G751" s="567"/>
      <c r="H751" s="164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" hidden="1">
      <c r="A752" s="603"/>
      <c r="B752" s="569"/>
      <c r="C752" s="565"/>
      <c r="D752" s="565"/>
      <c r="E752" s="565"/>
      <c r="F752" s="565"/>
      <c r="G752" s="567"/>
      <c r="H752" s="164" t="s">
        <v>315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" hidden="1">
      <c r="A753" s="720">
        <v>10</v>
      </c>
      <c r="B753" s="721" t="s">
        <v>316</v>
      </c>
      <c r="C753" s="722"/>
      <c r="D753" s="722"/>
      <c r="E753" s="722"/>
      <c r="F753" s="722"/>
      <c r="G753" s="723"/>
      <c r="H753" s="724" t="s">
        <v>46</v>
      </c>
      <c r="I753" s="725"/>
      <c r="J753" s="725">
        <f>J768</f>
        <v>0</v>
      </c>
      <c r="K753" s="726">
        <f>IF(I753&gt;0,J753*100/I753,0)</f>
        <v>0</v>
      </c>
      <c r="L753" s="727"/>
      <c r="M753" s="727"/>
      <c r="N753" s="727"/>
      <c r="O753" s="727"/>
      <c r="P753" s="727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" hidden="1">
      <c r="A754" s="564"/>
      <c r="B754" s="565"/>
      <c r="C754" s="565" t="s">
        <v>16</v>
      </c>
      <c r="D754" s="783" t="s">
        <v>17</v>
      </c>
      <c r="E754" s="776"/>
      <c r="F754" s="776"/>
      <c r="G754" s="567"/>
      <c r="H754" s="600" t="s">
        <v>12</v>
      </c>
      <c r="I754" s="44"/>
      <c r="J754" s="44"/>
      <c r="K754" s="45"/>
      <c r="L754" s="601">
        <f t="shared" ref="L754:N754" si="302">L755+L756</f>
        <v>0</v>
      </c>
      <c r="M754" s="601">
        <f t="shared" si="302"/>
        <v>0</v>
      </c>
      <c r="N754" s="601">
        <f t="shared" si="302"/>
        <v>0</v>
      </c>
      <c r="O754" s="601">
        <f t="shared" ref="O754:O759" si="303">IF(L754&gt;0,N754*100/L754,0)</f>
        <v>0</v>
      </c>
      <c r="P754" s="601">
        <f t="shared" ref="P754:P759" si="304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" hidden="1">
      <c r="A755" s="564"/>
      <c r="B755" s="565"/>
      <c r="C755" s="565"/>
      <c r="D755" s="566"/>
      <c r="E755" s="565" t="s">
        <v>185</v>
      </c>
      <c r="F755" s="565"/>
      <c r="G755" s="567"/>
      <c r="H755" s="164" t="s">
        <v>12</v>
      </c>
      <c r="I755" s="44"/>
      <c r="J755" s="44"/>
      <c r="K755" s="45"/>
      <c r="L755" s="45">
        <f t="shared" ref="L755:N756" si="305">L758+L765</f>
        <v>0</v>
      </c>
      <c r="M755" s="45">
        <f t="shared" si="305"/>
        <v>0</v>
      </c>
      <c r="N755" s="45">
        <f t="shared" si="305"/>
        <v>0</v>
      </c>
      <c r="O755" s="45">
        <f t="shared" si="303"/>
        <v>0</v>
      </c>
      <c r="P755" s="45">
        <f t="shared" si="304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" hidden="1">
      <c r="A756" s="564"/>
      <c r="B756" s="569"/>
      <c r="C756" s="565"/>
      <c r="D756" s="566"/>
      <c r="E756" s="565" t="s">
        <v>186</v>
      </c>
      <c r="F756" s="565"/>
      <c r="G756" s="567"/>
      <c r="H756" s="164" t="s">
        <v>12</v>
      </c>
      <c r="I756" s="44"/>
      <c r="J756" s="44"/>
      <c r="K756" s="45"/>
      <c r="L756" s="45">
        <f t="shared" si="305"/>
        <v>0</v>
      </c>
      <c r="M756" s="45">
        <f t="shared" si="305"/>
        <v>0</v>
      </c>
      <c r="N756" s="45">
        <f t="shared" si="305"/>
        <v>0</v>
      </c>
      <c r="O756" s="45">
        <f t="shared" si="303"/>
        <v>0</v>
      </c>
      <c r="P756" s="45">
        <f t="shared" si="304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" hidden="1">
      <c r="A757" s="564"/>
      <c r="B757" s="569"/>
      <c r="C757" s="565"/>
      <c r="D757" s="599" t="s">
        <v>20</v>
      </c>
      <c r="E757" s="565"/>
      <c r="F757" s="565"/>
      <c r="G757" s="567"/>
      <c r="H757" s="600" t="s">
        <v>12</v>
      </c>
      <c r="I757" s="165"/>
      <c r="J757" s="165"/>
      <c r="K757" s="166"/>
      <c r="L757" s="601">
        <f t="shared" ref="L757:N757" si="306">L758+L759</f>
        <v>0</v>
      </c>
      <c r="M757" s="601">
        <f t="shared" si="306"/>
        <v>0</v>
      </c>
      <c r="N757" s="601">
        <f t="shared" si="306"/>
        <v>0</v>
      </c>
      <c r="O757" s="601">
        <f t="shared" si="303"/>
        <v>0</v>
      </c>
      <c r="P757" s="601">
        <f t="shared" si="304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" hidden="1">
      <c r="A758" s="564"/>
      <c r="B758" s="569"/>
      <c r="C758" s="565"/>
      <c r="D758" s="566"/>
      <c r="E758" s="565" t="s">
        <v>185</v>
      </c>
      <c r="F758" s="565"/>
      <c r="G758" s="567"/>
      <c r="H758" s="164" t="s">
        <v>12</v>
      </c>
      <c r="I758" s="44"/>
      <c r="J758" s="44"/>
      <c r="K758" s="45"/>
      <c r="L758" s="45">
        <v>0</v>
      </c>
      <c r="M758" s="45">
        <v>0</v>
      </c>
      <c r="N758" s="45">
        <v>0</v>
      </c>
      <c r="O758" s="45">
        <f t="shared" si="303"/>
        <v>0</v>
      </c>
      <c r="P758" s="45">
        <f t="shared" si="304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" hidden="1">
      <c r="A759" s="564"/>
      <c r="B759" s="569"/>
      <c r="C759" s="565"/>
      <c r="D759" s="566"/>
      <c r="E759" s="565" t="s">
        <v>186</v>
      </c>
      <c r="F759" s="565"/>
      <c r="G759" s="567"/>
      <c r="H759" s="164" t="s">
        <v>12</v>
      </c>
      <c r="I759" s="44"/>
      <c r="J759" s="44"/>
      <c r="K759" s="45"/>
      <c r="L759" s="45">
        <v>0</v>
      </c>
      <c r="M759" s="45">
        <v>0</v>
      </c>
      <c r="N759" s="45">
        <f>N760+N761+N762+N763</f>
        <v>0</v>
      </c>
      <c r="O759" s="45">
        <f t="shared" si="303"/>
        <v>0</v>
      </c>
      <c r="P759" s="45">
        <f t="shared" si="304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" hidden="1">
      <c r="A760" s="603"/>
      <c r="B760" s="569"/>
      <c r="C760" s="565"/>
      <c r="D760" s="565"/>
      <c r="E760" s="565"/>
      <c r="F760" s="565" t="s">
        <v>187</v>
      </c>
      <c r="G760" s="567"/>
      <c r="H760" s="164" t="s">
        <v>12</v>
      </c>
      <c r="I760" s="44"/>
      <c r="J760" s="44"/>
      <c r="K760" s="45"/>
      <c r="L760" s="45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" hidden="1">
      <c r="A761" s="603"/>
      <c r="B761" s="569"/>
      <c r="C761" s="565"/>
      <c r="D761" s="565"/>
      <c r="E761" s="565"/>
      <c r="F761" s="565" t="s">
        <v>188</v>
      </c>
      <c r="G761" s="567"/>
      <c r="H761" s="164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" hidden="1">
      <c r="A762" s="603"/>
      <c r="B762" s="569"/>
      <c r="C762" s="565"/>
      <c r="D762" s="565"/>
      <c r="E762" s="565"/>
      <c r="F762" s="565" t="s">
        <v>189</v>
      </c>
      <c r="G762" s="567"/>
      <c r="H762" s="164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" hidden="1">
      <c r="A763" s="603"/>
      <c r="B763" s="569"/>
      <c r="C763" s="565"/>
      <c r="D763" s="565"/>
      <c r="E763" s="565"/>
      <c r="F763" s="565" t="s">
        <v>190</v>
      </c>
      <c r="G763" s="567"/>
      <c r="H763" s="164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" hidden="1">
      <c r="A764" s="564"/>
      <c r="B764" s="569"/>
      <c r="C764" s="565"/>
      <c r="D764" s="599" t="s">
        <v>21</v>
      </c>
      <c r="E764" s="565"/>
      <c r="F764" s="565"/>
      <c r="G764" s="567"/>
      <c r="H764" s="718" t="s">
        <v>12</v>
      </c>
      <c r="I764" s="165"/>
      <c r="J764" s="165"/>
      <c r="K764" s="166"/>
      <c r="L764" s="601">
        <f t="shared" ref="L764:N764" si="307">L765+L766</f>
        <v>0</v>
      </c>
      <c r="M764" s="601">
        <f t="shared" si="307"/>
        <v>0</v>
      </c>
      <c r="N764" s="601">
        <f t="shared" si="307"/>
        <v>0</v>
      </c>
      <c r="O764" s="601">
        <f t="shared" ref="O764:O766" si="308">IF(L764&gt;0,N764*100/L764,0)</f>
        <v>0</v>
      </c>
      <c r="P764" s="601">
        <f t="shared" ref="P764:P766" si="309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" hidden="1">
      <c r="A765" s="564"/>
      <c r="B765" s="569"/>
      <c r="C765" s="565"/>
      <c r="D765" s="565"/>
      <c r="E765" s="565" t="s">
        <v>18</v>
      </c>
      <c r="F765" s="565"/>
      <c r="G765" s="567"/>
      <c r="H765" s="164" t="s">
        <v>12</v>
      </c>
      <c r="I765" s="165"/>
      <c r="J765" s="165"/>
      <c r="K765" s="166"/>
      <c r="L765" s="45">
        <v>0</v>
      </c>
      <c r="M765" s="45">
        <v>0</v>
      </c>
      <c r="N765" s="45">
        <v>0</v>
      </c>
      <c r="O765" s="45">
        <f t="shared" si="308"/>
        <v>0</v>
      </c>
      <c r="P765" s="45">
        <f t="shared" si="309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" hidden="1">
      <c r="A766" s="564"/>
      <c r="B766" s="569"/>
      <c r="C766" s="565"/>
      <c r="D766" s="565"/>
      <c r="E766" s="565" t="s">
        <v>19</v>
      </c>
      <c r="F766" s="565"/>
      <c r="G766" s="567"/>
      <c r="H766" s="168" t="s">
        <v>12</v>
      </c>
      <c r="I766" s="165"/>
      <c r="J766" s="165"/>
      <c r="K766" s="166"/>
      <c r="L766" s="45">
        <v>0</v>
      </c>
      <c r="M766" s="45">
        <v>0</v>
      </c>
      <c r="N766" s="45">
        <v>0</v>
      </c>
      <c r="O766" s="45">
        <f t="shared" si="308"/>
        <v>0</v>
      </c>
      <c r="P766" s="45">
        <f t="shared" si="309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" hidden="1">
      <c r="A767" s="577"/>
      <c r="B767" s="578"/>
      <c r="C767" s="565" t="s">
        <v>16</v>
      </c>
      <c r="D767" s="817" t="s">
        <v>38</v>
      </c>
      <c r="E767" s="605"/>
      <c r="F767" s="605"/>
      <c r="G767" s="606"/>
      <c r="H767" s="351"/>
      <c r="I767" s="165"/>
      <c r="J767" s="165"/>
      <c r="K767" s="166"/>
      <c r="L767" s="166"/>
      <c r="M767" s="166"/>
      <c r="N767" s="166"/>
      <c r="O767" s="166"/>
      <c r="P767" s="166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" hidden="1">
      <c r="A768" s="603"/>
      <c r="B768" s="569"/>
      <c r="C768" s="565"/>
      <c r="D768" s="565"/>
      <c r="E768" s="565" t="s">
        <v>317</v>
      </c>
      <c r="F768" s="565"/>
      <c r="G768" s="567"/>
      <c r="H768" s="164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" hidden="1">
      <c r="A769" s="728">
        <v>11</v>
      </c>
      <c r="B769" s="729" t="s">
        <v>318</v>
      </c>
      <c r="C769" s="730"/>
      <c r="D769" s="730"/>
      <c r="E769" s="730"/>
      <c r="F769" s="730"/>
      <c r="G769" s="731"/>
      <c r="H769" s="732" t="s">
        <v>46</v>
      </c>
      <c r="I769" s="733"/>
      <c r="J769" s="733">
        <f>J784</f>
        <v>0</v>
      </c>
      <c r="K769" s="734">
        <f>IF(I769&gt;0,J769*100/I769,0)</f>
        <v>0</v>
      </c>
      <c r="L769" s="735"/>
      <c r="M769" s="735"/>
      <c r="N769" s="735"/>
      <c r="O769" s="735"/>
      <c r="P769" s="735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" hidden="1">
      <c r="A770" s="564"/>
      <c r="B770" s="565"/>
      <c r="C770" s="565" t="s">
        <v>16</v>
      </c>
      <c r="D770" s="783" t="s">
        <v>17</v>
      </c>
      <c r="E770" s="776"/>
      <c r="F770" s="776"/>
      <c r="G770" s="567"/>
      <c r="H770" s="600" t="s">
        <v>12</v>
      </c>
      <c r="I770" s="44"/>
      <c r="J770" s="44"/>
      <c r="K770" s="45"/>
      <c r="L770" s="601">
        <f t="shared" ref="L770:N770" si="310">L771+L772</f>
        <v>0</v>
      </c>
      <c r="M770" s="601">
        <f t="shared" si="310"/>
        <v>0</v>
      </c>
      <c r="N770" s="601">
        <f t="shared" si="310"/>
        <v>0</v>
      </c>
      <c r="O770" s="601">
        <f t="shared" ref="O770:O775" si="311">IF(L770&gt;0,N770*100/L770,0)</f>
        <v>0</v>
      </c>
      <c r="P770" s="601">
        <f t="shared" ref="P770:P775" si="312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" hidden="1">
      <c r="A771" s="564"/>
      <c r="B771" s="565"/>
      <c r="C771" s="565"/>
      <c r="D771" s="566"/>
      <c r="E771" s="565" t="s">
        <v>185</v>
      </c>
      <c r="F771" s="565"/>
      <c r="G771" s="567"/>
      <c r="H771" s="164" t="s">
        <v>12</v>
      </c>
      <c r="I771" s="44"/>
      <c r="J771" s="44"/>
      <c r="K771" s="45"/>
      <c r="L771" s="45">
        <f t="shared" ref="L771:N772" si="313">L774+L781</f>
        <v>0</v>
      </c>
      <c r="M771" s="45">
        <f t="shared" si="313"/>
        <v>0</v>
      </c>
      <c r="N771" s="45">
        <f t="shared" si="313"/>
        <v>0</v>
      </c>
      <c r="O771" s="45">
        <f t="shared" si="311"/>
        <v>0</v>
      </c>
      <c r="P771" s="45">
        <f t="shared" si="312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" hidden="1">
      <c r="A772" s="564"/>
      <c r="B772" s="569"/>
      <c r="C772" s="565"/>
      <c r="D772" s="566"/>
      <c r="E772" s="565" t="s">
        <v>186</v>
      </c>
      <c r="F772" s="565"/>
      <c r="G772" s="567"/>
      <c r="H772" s="164" t="s">
        <v>12</v>
      </c>
      <c r="I772" s="44"/>
      <c r="J772" s="44"/>
      <c r="K772" s="45"/>
      <c r="L772" s="45">
        <f t="shared" si="313"/>
        <v>0</v>
      </c>
      <c r="M772" s="45">
        <f t="shared" si="313"/>
        <v>0</v>
      </c>
      <c r="N772" s="45">
        <f t="shared" si="313"/>
        <v>0</v>
      </c>
      <c r="O772" s="45">
        <f t="shared" si="311"/>
        <v>0</v>
      </c>
      <c r="P772" s="45">
        <f t="shared" si="312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" hidden="1">
      <c r="A773" s="564"/>
      <c r="B773" s="569"/>
      <c r="C773" s="565"/>
      <c r="D773" s="599" t="s">
        <v>20</v>
      </c>
      <c r="E773" s="565"/>
      <c r="F773" s="565"/>
      <c r="G773" s="567"/>
      <c r="H773" s="600" t="s">
        <v>12</v>
      </c>
      <c r="I773" s="165"/>
      <c r="J773" s="165"/>
      <c r="K773" s="166"/>
      <c r="L773" s="601">
        <f t="shared" ref="L773:N773" si="314">L774+L775</f>
        <v>0</v>
      </c>
      <c r="M773" s="601">
        <f t="shared" si="314"/>
        <v>0</v>
      </c>
      <c r="N773" s="601">
        <f t="shared" si="314"/>
        <v>0</v>
      </c>
      <c r="O773" s="601">
        <f t="shared" si="311"/>
        <v>0</v>
      </c>
      <c r="P773" s="601">
        <f t="shared" si="312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" hidden="1">
      <c r="A774" s="564"/>
      <c r="B774" s="569"/>
      <c r="C774" s="565"/>
      <c r="D774" s="566"/>
      <c r="E774" s="565" t="s">
        <v>185</v>
      </c>
      <c r="F774" s="565"/>
      <c r="G774" s="567"/>
      <c r="H774" s="164" t="s">
        <v>12</v>
      </c>
      <c r="I774" s="44"/>
      <c r="J774" s="44"/>
      <c r="K774" s="45"/>
      <c r="L774" s="45">
        <v>0</v>
      </c>
      <c r="M774" s="45">
        <v>0</v>
      </c>
      <c r="N774" s="45">
        <v>0</v>
      </c>
      <c r="O774" s="45">
        <f t="shared" si="311"/>
        <v>0</v>
      </c>
      <c r="P774" s="45">
        <f t="shared" si="312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" hidden="1">
      <c r="A775" s="564"/>
      <c r="B775" s="569"/>
      <c r="C775" s="565"/>
      <c r="D775" s="566"/>
      <c r="E775" s="565" t="s">
        <v>186</v>
      </c>
      <c r="F775" s="565"/>
      <c r="G775" s="567"/>
      <c r="H775" s="164" t="s">
        <v>12</v>
      </c>
      <c r="I775" s="44"/>
      <c r="J775" s="44"/>
      <c r="K775" s="45"/>
      <c r="L775" s="45">
        <v>0</v>
      </c>
      <c r="M775" s="45">
        <v>0</v>
      </c>
      <c r="N775" s="45">
        <f>N776+N777+N778+N779</f>
        <v>0</v>
      </c>
      <c r="O775" s="45">
        <f t="shared" si="311"/>
        <v>0</v>
      </c>
      <c r="P775" s="45">
        <f t="shared" si="312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" hidden="1">
      <c r="A776" s="603"/>
      <c r="B776" s="569"/>
      <c r="C776" s="565"/>
      <c r="D776" s="565"/>
      <c r="E776" s="565"/>
      <c r="F776" s="565" t="s">
        <v>187</v>
      </c>
      <c r="G776" s="567"/>
      <c r="H776" s="164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" hidden="1">
      <c r="A777" s="603"/>
      <c r="B777" s="569"/>
      <c r="C777" s="565"/>
      <c r="D777" s="565"/>
      <c r="E777" s="565"/>
      <c r="F777" s="565" t="s">
        <v>188</v>
      </c>
      <c r="G777" s="567"/>
      <c r="H777" s="164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" hidden="1">
      <c r="A778" s="603"/>
      <c r="B778" s="569"/>
      <c r="C778" s="565"/>
      <c r="D778" s="565"/>
      <c r="E778" s="565"/>
      <c r="F778" s="565" t="s">
        <v>189</v>
      </c>
      <c r="G778" s="567"/>
      <c r="H778" s="164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" hidden="1">
      <c r="A779" s="603"/>
      <c r="B779" s="569"/>
      <c r="C779" s="565"/>
      <c r="D779" s="565"/>
      <c r="E779" s="565"/>
      <c r="F779" s="565" t="s">
        <v>190</v>
      </c>
      <c r="G779" s="567"/>
      <c r="H779" s="164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" hidden="1">
      <c r="A780" s="564"/>
      <c r="B780" s="569"/>
      <c r="C780" s="565"/>
      <c r="D780" s="599" t="s">
        <v>21</v>
      </c>
      <c r="E780" s="565"/>
      <c r="F780" s="565"/>
      <c r="G780" s="567"/>
      <c r="H780" s="718" t="s">
        <v>12</v>
      </c>
      <c r="I780" s="165"/>
      <c r="J780" s="165"/>
      <c r="K780" s="166"/>
      <c r="L780" s="601">
        <f t="shared" ref="L780:N780" si="315">L781+L782</f>
        <v>0</v>
      </c>
      <c r="M780" s="601">
        <f t="shared" si="315"/>
        <v>0</v>
      </c>
      <c r="N780" s="601">
        <f t="shared" si="315"/>
        <v>0</v>
      </c>
      <c r="O780" s="601">
        <f t="shared" ref="O780:O782" si="316">IF(L780&gt;0,N780*100/L780,0)</f>
        <v>0</v>
      </c>
      <c r="P780" s="601">
        <f t="shared" ref="P780:P782" si="317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" hidden="1">
      <c r="A781" s="564"/>
      <c r="B781" s="569"/>
      <c r="C781" s="565"/>
      <c r="D781" s="565"/>
      <c r="E781" s="565" t="s">
        <v>18</v>
      </c>
      <c r="F781" s="565"/>
      <c r="G781" s="567"/>
      <c r="H781" s="164" t="s">
        <v>12</v>
      </c>
      <c r="I781" s="165"/>
      <c r="J781" s="165"/>
      <c r="K781" s="166"/>
      <c r="L781" s="45">
        <v>0</v>
      </c>
      <c r="M781" s="45">
        <v>0</v>
      </c>
      <c r="N781" s="45">
        <v>0</v>
      </c>
      <c r="O781" s="45">
        <f t="shared" si="316"/>
        <v>0</v>
      </c>
      <c r="P781" s="45">
        <f t="shared" si="317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" hidden="1">
      <c r="A782" s="564"/>
      <c r="B782" s="569"/>
      <c r="C782" s="565"/>
      <c r="D782" s="565"/>
      <c r="E782" s="565" t="s">
        <v>19</v>
      </c>
      <c r="F782" s="565"/>
      <c r="G782" s="567"/>
      <c r="H782" s="168" t="s">
        <v>12</v>
      </c>
      <c r="I782" s="165"/>
      <c r="J782" s="165"/>
      <c r="K782" s="166"/>
      <c r="L782" s="45">
        <v>0</v>
      </c>
      <c r="M782" s="45">
        <v>0</v>
      </c>
      <c r="N782" s="45">
        <v>0</v>
      </c>
      <c r="O782" s="45">
        <f t="shared" si="316"/>
        <v>0</v>
      </c>
      <c r="P782" s="45">
        <f t="shared" si="317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" hidden="1">
      <c r="A783" s="577"/>
      <c r="B783" s="578"/>
      <c r="C783" s="565" t="s">
        <v>16</v>
      </c>
      <c r="D783" s="817" t="s">
        <v>38</v>
      </c>
      <c r="E783" s="605"/>
      <c r="F783" s="605"/>
      <c r="G783" s="606"/>
      <c r="H783" s="736"/>
      <c r="I783" s="165"/>
      <c r="J783" s="165"/>
      <c r="K783" s="166"/>
      <c r="L783" s="166"/>
      <c r="M783" s="166"/>
      <c r="N783" s="166"/>
      <c r="O783" s="166"/>
      <c r="P783" s="166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" hidden="1">
      <c r="A784" s="603"/>
      <c r="B784" s="569"/>
      <c r="C784" s="565"/>
      <c r="D784" s="565"/>
      <c r="E784" s="565" t="s">
        <v>319</v>
      </c>
      <c r="F784" s="565"/>
      <c r="G784" s="567"/>
      <c r="H784" s="164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" hidden="1">
      <c r="A785" s="737">
        <v>12</v>
      </c>
      <c r="B785" s="738" t="s">
        <v>320</v>
      </c>
      <c r="C785" s="739"/>
      <c r="D785" s="739"/>
      <c r="E785" s="739"/>
      <c r="F785" s="739"/>
      <c r="G785" s="740"/>
      <c r="H785" s="741" t="s">
        <v>46</v>
      </c>
      <c r="I785" s="742">
        <f t="shared" ref="I785:J785" ca="1" si="318">I800</f>
        <v>0</v>
      </c>
      <c r="J785" s="743">
        <f t="shared" ca="1" si="318"/>
        <v>0</v>
      </c>
      <c r="K785" s="744">
        <f ca="1">IF(I785&gt;0,J785*100/I785,0)</f>
        <v>0</v>
      </c>
      <c r="L785" s="745"/>
      <c r="M785" s="745"/>
      <c r="N785" s="745"/>
      <c r="O785" s="745"/>
      <c r="P785" s="745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" hidden="1">
      <c r="A786" s="562"/>
      <c r="B786" s="541"/>
      <c r="C786" s="542" t="s">
        <v>16</v>
      </c>
      <c r="D786" s="782" t="s">
        <v>17</v>
      </c>
      <c r="E786" s="776"/>
      <c r="F786" s="776"/>
      <c r="G786" s="186"/>
      <c r="H786" s="563" t="s">
        <v>12</v>
      </c>
      <c r="I786" s="37"/>
      <c r="J786" s="37"/>
      <c r="K786" s="38"/>
      <c r="L786" s="191">
        <f t="shared" ref="L786:N786" ca="1" si="319">L787+L788</f>
        <v>0</v>
      </c>
      <c r="M786" s="191">
        <f t="shared" si="319"/>
        <v>0</v>
      </c>
      <c r="N786" s="191">
        <f t="shared" si="319"/>
        <v>0</v>
      </c>
      <c r="O786" s="191">
        <f t="shared" ref="O786:O791" ca="1" si="320">IF(L786&gt;0,N786*100/L786,0)</f>
        <v>0</v>
      </c>
      <c r="P786" s="191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" hidden="1">
      <c r="A787" s="564"/>
      <c r="B787" s="569"/>
      <c r="C787" s="565"/>
      <c r="D787" s="566"/>
      <c r="E787" s="565" t="s">
        <v>185</v>
      </c>
      <c r="F787" s="565"/>
      <c r="G787" s="567"/>
      <c r="H787" s="164" t="s">
        <v>12</v>
      </c>
      <c r="I787" s="44"/>
      <c r="J787" s="44"/>
      <c r="K787" s="45"/>
      <c r="L787" s="45">
        <f t="shared" ref="L787:N788" si="322">L790+L797</f>
        <v>0</v>
      </c>
      <c r="M787" s="45">
        <f t="shared" si="322"/>
        <v>0</v>
      </c>
      <c r="N787" s="45">
        <f t="shared" si="322"/>
        <v>0</v>
      </c>
      <c r="O787" s="45">
        <f t="shared" si="320"/>
        <v>0</v>
      </c>
      <c r="P787" s="45">
        <f t="shared" si="321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" hidden="1">
      <c r="A788" s="564"/>
      <c r="B788" s="569"/>
      <c r="C788" s="569"/>
      <c r="D788" s="578"/>
      <c r="E788" s="565" t="s">
        <v>186</v>
      </c>
      <c r="F788" s="565"/>
      <c r="G788" s="567"/>
      <c r="H788" s="164" t="s">
        <v>12</v>
      </c>
      <c r="I788" s="44"/>
      <c r="J788" s="44"/>
      <c r="K788" s="45"/>
      <c r="L788" s="45">
        <f t="shared" ca="1" si="322"/>
        <v>0</v>
      </c>
      <c r="M788" s="45">
        <f t="shared" si="322"/>
        <v>0</v>
      </c>
      <c r="N788" s="45">
        <f t="shared" si="322"/>
        <v>0</v>
      </c>
      <c r="O788" s="45">
        <f t="shared" ca="1" si="320"/>
        <v>0</v>
      </c>
      <c r="P788" s="45">
        <f t="shared" si="321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" hidden="1">
      <c r="A789" s="562"/>
      <c r="B789" s="541"/>
      <c r="C789" s="541"/>
      <c r="D789" s="570" t="s">
        <v>20</v>
      </c>
      <c r="E789" s="542"/>
      <c r="F789" s="542"/>
      <c r="G789" s="186"/>
      <c r="H789" s="160" t="s">
        <v>12</v>
      </c>
      <c r="I789" s="161"/>
      <c r="J789" s="161"/>
      <c r="K789" s="162"/>
      <c r="L789" s="38">
        <f t="shared" ref="L789:N789" ca="1" si="323">L790+L791</f>
        <v>0</v>
      </c>
      <c r="M789" s="38">
        <f t="shared" si="323"/>
        <v>0</v>
      </c>
      <c r="N789" s="38">
        <f t="shared" si="323"/>
        <v>0</v>
      </c>
      <c r="O789" s="38">
        <f t="shared" ca="1" si="320"/>
        <v>0</v>
      </c>
      <c r="P789" s="38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" hidden="1">
      <c r="A790" s="564"/>
      <c r="B790" s="569"/>
      <c r="C790" s="569"/>
      <c r="D790" s="578"/>
      <c r="E790" s="565" t="s">
        <v>185</v>
      </c>
      <c r="F790" s="565"/>
      <c r="G790" s="567"/>
      <c r="H790" s="164" t="s">
        <v>12</v>
      </c>
      <c r="I790" s="44"/>
      <c r="J790" s="44"/>
      <c r="K790" s="45"/>
      <c r="L790" s="45">
        <v>0</v>
      </c>
      <c r="M790" s="45">
        <v>0</v>
      </c>
      <c r="N790" s="45">
        <v>0</v>
      </c>
      <c r="O790" s="45">
        <f t="shared" si="320"/>
        <v>0</v>
      </c>
      <c r="P790" s="45">
        <f t="shared" si="321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" hidden="1">
      <c r="A791" s="564"/>
      <c r="B791" s="569"/>
      <c r="C791" s="569"/>
      <c r="D791" s="578"/>
      <c r="E791" s="565" t="s">
        <v>186</v>
      </c>
      <c r="F791" s="565"/>
      <c r="G791" s="567"/>
      <c r="H791" s="164" t="s">
        <v>12</v>
      </c>
      <c r="I791" s="44"/>
      <c r="J791" s="44"/>
      <c r="K791" s="45"/>
      <c r="L791" s="45">
        <f ca="1">IFERROR(__xludf.DUMMYFUNCTION("IMPORTRANGE(""https://docs.google.com/spreadsheets/d/1QqKyyYR6Q21VydFLVH3TRQUabQu_ym0Zz7PgGX0-kHA/edit?usp=sharing"",""แผน!JJ82"")"),0)</f>
        <v>0</v>
      </c>
      <c r="M791" s="45">
        <v>0</v>
      </c>
      <c r="N791" s="45">
        <f>N792+N793+N794+N795</f>
        <v>0</v>
      </c>
      <c r="O791" s="45">
        <f t="shared" ca="1" si="320"/>
        <v>0</v>
      </c>
      <c r="P791" s="45">
        <f t="shared" si="321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" hidden="1">
      <c r="A792" s="540"/>
      <c r="B792" s="541"/>
      <c r="C792" s="542"/>
      <c r="D792" s="542"/>
      <c r="E792" s="542"/>
      <c r="F792" s="542" t="s">
        <v>187</v>
      </c>
      <c r="G792" s="186"/>
      <c r="H792" s="160" t="s">
        <v>12</v>
      </c>
      <c r="I792" s="37"/>
      <c r="J792" s="37"/>
      <c r="K792" s="38"/>
      <c r="L792" s="38"/>
      <c r="M792" s="38"/>
      <c r="N792" s="270"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" hidden="1">
      <c r="A793" s="540"/>
      <c r="B793" s="541"/>
      <c r="C793" s="542"/>
      <c r="D793" s="542"/>
      <c r="E793" s="542"/>
      <c r="F793" s="542" t="s">
        <v>188</v>
      </c>
      <c r="G793" s="186"/>
      <c r="H793" s="160" t="s">
        <v>12</v>
      </c>
      <c r="I793" s="37"/>
      <c r="J793" s="37"/>
      <c r="K793" s="38"/>
      <c r="L793" s="38"/>
      <c r="M793" s="38"/>
      <c r="N793" s="270">
        <v>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" hidden="1">
      <c r="A794" s="540"/>
      <c r="B794" s="541"/>
      <c r="C794" s="542"/>
      <c r="D794" s="542"/>
      <c r="E794" s="542"/>
      <c r="F794" s="542" t="s">
        <v>189</v>
      </c>
      <c r="G794" s="186"/>
      <c r="H794" s="160" t="s">
        <v>12</v>
      </c>
      <c r="I794" s="37"/>
      <c r="J794" s="37"/>
      <c r="K794" s="38"/>
      <c r="L794" s="38"/>
      <c r="M794" s="38"/>
      <c r="N794" s="270">
        <v>0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" hidden="1">
      <c r="A795" s="540"/>
      <c r="B795" s="541"/>
      <c r="C795" s="542"/>
      <c r="D795" s="542"/>
      <c r="E795" s="542"/>
      <c r="F795" s="542" t="s">
        <v>190</v>
      </c>
      <c r="G795" s="186"/>
      <c r="H795" s="160" t="s">
        <v>12</v>
      </c>
      <c r="I795" s="37"/>
      <c r="J795" s="37"/>
      <c r="K795" s="38"/>
      <c r="L795" s="38"/>
      <c r="M795" s="38"/>
      <c r="N795" s="270">
        <v>0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" hidden="1">
      <c r="A796" s="562"/>
      <c r="B796" s="541"/>
      <c r="C796" s="542"/>
      <c r="D796" s="570" t="s">
        <v>21</v>
      </c>
      <c r="E796" s="542"/>
      <c r="F796" s="542"/>
      <c r="G796" s="186"/>
      <c r="H796" s="167" t="s">
        <v>12</v>
      </c>
      <c r="I796" s="161"/>
      <c r="J796" s="161"/>
      <c r="K796" s="162"/>
      <c r="L796" s="38">
        <f t="shared" ref="L796:N796" si="324">L797+L798</f>
        <v>0</v>
      </c>
      <c r="M796" s="38">
        <f t="shared" si="324"/>
        <v>0</v>
      </c>
      <c r="N796" s="38">
        <f t="shared" si="324"/>
        <v>0</v>
      </c>
      <c r="O796" s="38">
        <f t="shared" ref="O796:O798" si="325">IF(L796&gt;0,N796*100/L796,0)</f>
        <v>0</v>
      </c>
      <c r="P796" s="38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" hidden="1">
      <c r="A797" s="564"/>
      <c r="B797" s="569"/>
      <c r="C797" s="565"/>
      <c r="D797" s="565"/>
      <c r="E797" s="565" t="s">
        <v>18</v>
      </c>
      <c r="F797" s="565"/>
      <c r="G797" s="567"/>
      <c r="H797" s="164" t="s">
        <v>12</v>
      </c>
      <c r="I797" s="165"/>
      <c r="J797" s="165"/>
      <c r="K797" s="166"/>
      <c r="L797" s="45">
        <v>0</v>
      </c>
      <c r="M797" s="45">
        <v>0</v>
      </c>
      <c r="N797" s="45">
        <v>0</v>
      </c>
      <c r="O797" s="45">
        <f t="shared" si="325"/>
        <v>0</v>
      </c>
      <c r="P797" s="45">
        <f t="shared" si="326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" hidden="1">
      <c r="A798" s="564"/>
      <c r="B798" s="569"/>
      <c r="C798" s="565"/>
      <c r="D798" s="565"/>
      <c r="E798" s="565" t="s">
        <v>19</v>
      </c>
      <c r="F798" s="565"/>
      <c r="G798" s="567"/>
      <c r="H798" s="168" t="s">
        <v>12</v>
      </c>
      <c r="I798" s="165"/>
      <c r="J798" s="165"/>
      <c r="K798" s="166"/>
      <c r="L798" s="45">
        <v>0</v>
      </c>
      <c r="M798" s="45">
        <v>0</v>
      </c>
      <c r="N798" s="45">
        <v>0</v>
      </c>
      <c r="O798" s="45">
        <f t="shared" si="325"/>
        <v>0</v>
      </c>
      <c r="P798" s="45">
        <f t="shared" si="326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" hidden="1">
      <c r="A799" s="571"/>
      <c r="B799" s="572"/>
      <c r="C799" s="542" t="s">
        <v>16</v>
      </c>
      <c r="D799" s="816" t="s">
        <v>38</v>
      </c>
      <c r="E799" s="575"/>
      <c r="F799" s="575"/>
      <c r="G799" s="576"/>
      <c r="H799" s="746"/>
      <c r="I799" s="161"/>
      <c r="J799" s="161"/>
      <c r="K799" s="162"/>
      <c r="L799" s="162"/>
      <c r="M799" s="162"/>
      <c r="N799" s="162"/>
      <c r="O799" s="162"/>
      <c r="P799" s="162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" hidden="1">
      <c r="A800" s="571"/>
      <c r="B800" s="572"/>
      <c r="C800" s="572"/>
      <c r="D800" s="572"/>
      <c r="E800" s="184"/>
      <c r="F800" s="184" t="s">
        <v>321</v>
      </c>
      <c r="G800" s="174"/>
      <c r="H800" s="182" t="s">
        <v>46</v>
      </c>
      <c r="I800" s="161">
        <f ca="1">IFERROR(__xludf.DUMMYFUNCTION("IMPORTRANGE(""https://docs.google.com/spreadsheets/d/1QqKyyYR6Q21VydFLVH3TRQUabQu_ym0Zz7PgGX0-kHA/edit?usp=sharing"",""แผน!JN82"")"),0)</f>
        <v>0</v>
      </c>
      <c r="J800" s="161">
        <f ca="1">IFERROR(__xludf.DUMMYFUNCTION("IMPORTRANGE(""https://docs.google.com/spreadsheets/d/1MaWodYyGHDf7siQLGxnXhG4mBNTNIuy296niS2xXulU/edit?usp=sharing"",""RTK!H82"")"),0)</f>
        <v>0</v>
      </c>
      <c r="K800" s="38">
        <f ca="1">IF(I800&gt;0,J800*100/I800,0)</f>
        <v>0</v>
      </c>
      <c r="L800" s="38"/>
      <c r="M800" s="38"/>
      <c r="N800" s="38"/>
      <c r="O800" s="162"/>
      <c r="P800" s="162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" hidden="1">
      <c r="A801" s="571"/>
      <c r="B801" s="572"/>
      <c r="C801" s="572"/>
      <c r="D801" s="572"/>
      <c r="E801" s="184"/>
      <c r="F801" s="184"/>
      <c r="G801" s="174"/>
      <c r="H801" s="160" t="s">
        <v>34</v>
      </c>
      <c r="I801" s="161"/>
      <c r="J801" s="37">
        <f ca="1">IFERROR(__xludf.DUMMYFUNCTION("IMPORTRANGE(""https://docs.google.com/spreadsheets/d/1MaWodYyGHDf7siQLGxnXhG4mBNTNIuy296niS2xXulU/edit?usp=sharing"",""RTK!I82"")"),0)</f>
        <v>0</v>
      </c>
      <c r="K801" s="38"/>
      <c r="L801" s="38"/>
      <c r="M801" s="38"/>
      <c r="N801" s="38"/>
      <c r="O801" s="162"/>
      <c r="P801" s="162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" hidden="1">
      <c r="A802" s="577"/>
      <c r="B802" s="578"/>
      <c r="C802" s="578"/>
      <c r="D802" s="578"/>
      <c r="E802" s="566"/>
      <c r="F802" s="566" t="s">
        <v>322</v>
      </c>
      <c r="G802" s="351"/>
      <c r="H802" s="607" t="s">
        <v>46</v>
      </c>
      <c r="I802" s="165"/>
      <c r="J802" s="44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" hidden="1">
      <c r="A803" s="577"/>
      <c r="B803" s="578"/>
      <c r="C803" s="578"/>
      <c r="D803" s="578"/>
      <c r="E803" s="566"/>
      <c r="F803" s="566"/>
      <c r="G803" s="351"/>
      <c r="H803" s="607" t="s">
        <v>34</v>
      </c>
      <c r="I803" s="165"/>
      <c r="J803" s="44">
        <v>0</v>
      </c>
      <c r="K803" s="166"/>
      <c r="L803" s="166"/>
      <c r="M803" s="166"/>
      <c r="N803" s="166"/>
      <c r="O803" s="166"/>
      <c r="P803" s="166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" hidden="1">
      <c r="A804" s="728">
        <v>13</v>
      </c>
      <c r="B804" s="729" t="s">
        <v>323</v>
      </c>
      <c r="C804" s="730"/>
      <c r="D804" s="747"/>
      <c r="E804" s="730"/>
      <c r="F804" s="730"/>
      <c r="G804" s="731"/>
      <c r="H804" s="732" t="s">
        <v>46</v>
      </c>
      <c r="I804" s="733"/>
      <c r="J804" s="733">
        <f>J819</f>
        <v>0</v>
      </c>
      <c r="K804" s="734">
        <f>IF(I804&gt;0,J804*100/I804,0)</f>
        <v>0</v>
      </c>
      <c r="L804" s="735"/>
      <c r="M804" s="735"/>
      <c r="N804" s="735"/>
      <c r="O804" s="735"/>
      <c r="P804" s="735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" hidden="1">
      <c r="A805" s="564"/>
      <c r="B805" s="565"/>
      <c r="C805" s="565" t="s">
        <v>16</v>
      </c>
      <c r="D805" s="783" t="s">
        <v>17</v>
      </c>
      <c r="E805" s="776"/>
      <c r="F805" s="776"/>
      <c r="G805" s="567"/>
      <c r="H805" s="600" t="s">
        <v>12</v>
      </c>
      <c r="I805" s="44"/>
      <c r="J805" s="44"/>
      <c r="K805" s="45"/>
      <c r="L805" s="601">
        <f t="shared" ref="L805:N805" si="327">L806+L807</f>
        <v>0</v>
      </c>
      <c r="M805" s="601">
        <f t="shared" si="327"/>
        <v>0</v>
      </c>
      <c r="N805" s="601">
        <f t="shared" si="327"/>
        <v>0</v>
      </c>
      <c r="O805" s="601">
        <f t="shared" ref="O805:O810" si="328">IF(L805&gt;0,N805*100/L805,0)</f>
        <v>0</v>
      </c>
      <c r="P805" s="601">
        <f t="shared" ref="P805:P810" si="329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" hidden="1">
      <c r="A806" s="564"/>
      <c r="B806" s="565"/>
      <c r="C806" s="565"/>
      <c r="D806" s="578"/>
      <c r="E806" s="565" t="s">
        <v>185</v>
      </c>
      <c r="F806" s="565"/>
      <c r="G806" s="567"/>
      <c r="H806" s="164" t="s">
        <v>12</v>
      </c>
      <c r="I806" s="44"/>
      <c r="J806" s="44"/>
      <c r="K806" s="45"/>
      <c r="L806" s="45">
        <f t="shared" ref="L806:N807" si="330">L809+L816</f>
        <v>0</v>
      </c>
      <c r="M806" s="45">
        <f t="shared" si="330"/>
        <v>0</v>
      </c>
      <c r="N806" s="45">
        <f t="shared" si="330"/>
        <v>0</v>
      </c>
      <c r="O806" s="45">
        <f t="shared" si="328"/>
        <v>0</v>
      </c>
      <c r="P806" s="45">
        <f t="shared" si="329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" hidden="1">
      <c r="A807" s="564"/>
      <c r="B807" s="565"/>
      <c r="C807" s="565"/>
      <c r="D807" s="578"/>
      <c r="E807" s="565" t="s">
        <v>186</v>
      </c>
      <c r="F807" s="565"/>
      <c r="G807" s="567"/>
      <c r="H807" s="164" t="s">
        <v>12</v>
      </c>
      <c r="I807" s="44"/>
      <c r="J807" s="44"/>
      <c r="K807" s="45"/>
      <c r="L807" s="45">
        <f t="shared" si="330"/>
        <v>0</v>
      </c>
      <c r="M807" s="45">
        <f t="shared" si="330"/>
        <v>0</v>
      </c>
      <c r="N807" s="45">
        <f t="shared" si="330"/>
        <v>0</v>
      </c>
      <c r="O807" s="45">
        <f t="shared" si="328"/>
        <v>0</v>
      </c>
      <c r="P807" s="45">
        <f t="shared" si="329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" hidden="1">
      <c r="A808" s="564"/>
      <c r="B808" s="569"/>
      <c r="C808" s="565"/>
      <c r="D808" s="818" t="s">
        <v>20</v>
      </c>
      <c r="E808" s="776"/>
      <c r="F808" s="776"/>
      <c r="G808" s="567"/>
      <c r="H808" s="600" t="s">
        <v>12</v>
      </c>
      <c r="I808" s="165"/>
      <c r="J808" s="165"/>
      <c r="K808" s="166"/>
      <c r="L808" s="601">
        <f t="shared" ref="L808:N808" si="331">L809+L810</f>
        <v>0</v>
      </c>
      <c r="M808" s="601">
        <f t="shared" si="331"/>
        <v>0</v>
      </c>
      <c r="N808" s="601">
        <f t="shared" si="331"/>
        <v>0</v>
      </c>
      <c r="O808" s="601">
        <f t="shared" si="328"/>
        <v>0</v>
      </c>
      <c r="P808" s="601">
        <f t="shared" si="329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" hidden="1">
      <c r="A809" s="564"/>
      <c r="B809" s="565"/>
      <c r="C809" s="565"/>
      <c r="D809" s="578"/>
      <c r="E809" s="565" t="s">
        <v>185</v>
      </c>
      <c r="F809" s="565"/>
      <c r="G809" s="567"/>
      <c r="H809" s="164" t="s">
        <v>12</v>
      </c>
      <c r="I809" s="44"/>
      <c r="J809" s="44"/>
      <c r="K809" s="45"/>
      <c r="L809" s="45">
        <v>0</v>
      </c>
      <c r="M809" s="45">
        <v>0</v>
      </c>
      <c r="N809" s="45">
        <v>0</v>
      </c>
      <c r="O809" s="45">
        <f t="shared" si="328"/>
        <v>0</v>
      </c>
      <c r="P809" s="45">
        <f t="shared" si="329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" hidden="1">
      <c r="A810" s="564"/>
      <c r="B810" s="565"/>
      <c r="C810" s="565"/>
      <c r="D810" s="578"/>
      <c r="E810" s="565" t="s">
        <v>186</v>
      </c>
      <c r="F810" s="565"/>
      <c r="G810" s="567"/>
      <c r="H810" s="164" t="s">
        <v>12</v>
      </c>
      <c r="I810" s="44"/>
      <c r="J810" s="44"/>
      <c r="K810" s="45"/>
      <c r="L810" s="45">
        <v>0</v>
      </c>
      <c r="M810" s="45">
        <v>0</v>
      </c>
      <c r="N810" s="45">
        <f>N811+N812+N813+N814</f>
        <v>0</v>
      </c>
      <c r="O810" s="45">
        <f t="shared" si="328"/>
        <v>0</v>
      </c>
      <c r="P810" s="45">
        <f t="shared" si="329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" hidden="1">
      <c r="A811" s="603"/>
      <c r="B811" s="569"/>
      <c r="C811" s="565"/>
      <c r="D811" s="569"/>
      <c r="E811" s="565"/>
      <c r="F811" s="565" t="s">
        <v>187</v>
      </c>
      <c r="G811" s="567"/>
      <c r="H811" s="164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" hidden="1">
      <c r="A812" s="603"/>
      <c r="B812" s="569"/>
      <c r="C812" s="565"/>
      <c r="D812" s="569"/>
      <c r="E812" s="565"/>
      <c r="F812" s="565" t="s">
        <v>188</v>
      </c>
      <c r="G812" s="567"/>
      <c r="H812" s="164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" hidden="1">
      <c r="A813" s="603"/>
      <c r="B813" s="569"/>
      <c r="C813" s="565"/>
      <c r="D813" s="569"/>
      <c r="E813" s="565"/>
      <c r="F813" s="565" t="s">
        <v>189</v>
      </c>
      <c r="G813" s="567"/>
      <c r="H813" s="164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" hidden="1">
      <c r="A814" s="603"/>
      <c r="B814" s="569"/>
      <c r="C814" s="565"/>
      <c r="D814" s="569"/>
      <c r="E814" s="565"/>
      <c r="F814" s="565" t="s">
        <v>190</v>
      </c>
      <c r="G814" s="567"/>
      <c r="H814" s="164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" hidden="1">
      <c r="A815" s="564"/>
      <c r="B815" s="569"/>
      <c r="C815" s="565"/>
      <c r="D815" s="818" t="s">
        <v>21</v>
      </c>
      <c r="E815" s="776"/>
      <c r="F815" s="776"/>
      <c r="G815" s="567"/>
      <c r="H815" s="718" t="s">
        <v>12</v>
      </c>
      <c r="I815" s="165"/>
      <c r="J815" s="165"/>
      <c r="K815" s="166"/>
      <c r="L815" s="601">
        <f t="shared" ref="L815:N815" si="332">L816+L817</f>
        <v>0</v>
      </c>
      <c r="M815" s="601">
        <f t="shared" si="332"/>
        <v>0</v>
      </c>
      <c r="N815" s="601">
        <f t="shared" si="332"/>
        <v>0</v>
      </c>
      <c r="O815" s="601">
        <f t="shared" ref="O815:O817" si="333">IF(L815&gt;0,N815*100/L815,0)</f>
        <v>0</v>
      </c>
      <c r="P815" s="601">
        <f t="shared" ref="P815:P817" si="334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" hidden="1">
      <c r="A816" s="564"/>
      <c r="B816" s="569"/>
      <c r="C816" s="565"/>
      <c r="D816" s="569"/>
      <c r="E816" s="565" t="s">
        <v>18</v>
      </c>
      <c r="F816" s="565"/>
      <c r="G816" s="567"/>
      <c r="H816" s="164" t="s">
        <v>12</v>
      </c>
      <c r="I816" s="165"/>
      <c r="J816" s="165"/>
      <c r="K816" s="166"/>
      <c r="L816" s="45">
        <v>0</v>
      </c>
      <c r="M816" s="45">
        <v>0</v>
      </c>
      <c r="N816" s="45">
        <v>0</v>
      </c>
      <c r="O816" s="45">
        <f t="shared" si="333"/>
        <v>0</v>
      </c>
      <c r="P816" s="45">
        <f t="shared" si="334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" hidden="1">
      <c r="A817" s="564"/>
      <c r="B817" s="569"/>
      <c r="C817" s="565"/>
      <c r="D817" s="569"/>
      <c r="E817" s="565" t="s">
        <v>19</v>
      </c>
      <c r="F817" s="565"/>
      <c r="G817" s="567"/>
      <c r="H817" s="168" t="s">
        <v>12</v>
      </c>
      <c r="I817" s="165"/>
      <c r="J817" s="165"/>
      <c r="K817" s="166"/>
      <c r="L817" s="45">
        <v>0</v>
      </c>
      <c r="M817" s="45">
        <v>0</v>
      </c>
      <c r="N817" s="45">
        <v>0</v>
      </c>
      <c r="O817" s="45">
        <f t="shared" si="333"/>
        <v>0</v>
      </c>
      <c r="P817" s="45">
        <f t="shared" si="334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" hidden="1">
      <c r="A818" s="577"/>
      <c r="B818" s="578"/>
      <c r="C818" s="565" t="s">
        <v>16</v>
      </c>
      <c r="D818" s="819" t="s">
        <v>38</v>
      </c>
      <c r="E818" s="605"/>
      <c r="F818" s="605"/>
      <c r="G818" s="606"/>
      <c r="H818" s="351"/>
      <c r="I818" s="165"/>
      <c r="J818" s="165"/>
      <c r="K818" s="166"/>
      <c r="L818" s="166"/>
      <c r="M818" s="166"/>
      <c r="N818" s="166"/>
      <c r="O818" s="166"/>
      <c r="P818" s="166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49"/>
      <c r="B819" s="750"/>
      <c r="C819" s="751"/>
      <c r="D819" s="750"/>
      <c r="E819" s="751" t="s">
        <v>324</v>
      </c>
      <c r="F819" s="751"/>
      <c r="G819" s="752"/>
      <c r="H819" s="753" t="s">
        <v>46</v>
      </c>
      <c r="I819" s="754"/>
      <c r="J819" s="754"/>
      <c r="K819" s="755"/>
      <c r="L819" s="755"/>
      <c r="M819" s="755"/>
      <c r="N819" s="755"/>
      <c r="O819" s="755"/>
      <c r="P819" s="755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">
      <c r="A820" s="820" t="s">
        <v>345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825"/>
      <c r="J820" s="825"/>
      <c r="K820" s="826"/>
      <c r="L820" s="826"/>
      <c r="M820" s="826"/>
      <c r="N820" s="826"/>
      <c r="O820" s="826"/>
      <c r="P820" s="826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9">
      <c r="A821" s="689"/>
      <c r="B821" s="542" t="s">
        <v>326</v>
      </c>
      <c r="C821" s="542"/>
      <c r="D821" s="541"/>
      <c r="E821" s="542"/>
      <c r="F821" s="542"/>
      <c r="G821" s="186"/>
      <c r="H821" s="36" t="s">
        <v>12</v>
      </c>
      <c r="I821" s="37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37">
        <f ca="1">IFERROR(__xludf.DUMMYFUNCTION("IMPORTRANGE(""https://docs.google.com/spreadsheets/d/19vJNZY_5yjcGF2XGBMNZRCAIB0Kwfpjp8YEOfu-bneM/edit?usp=sharing"",""งานกองทุน!F82"")"),1110662.33)</f>
        <v>1110662.33</v>
      </c>
      <c r="K821" s="38">
        <f t="shared" ref="K821:K828" ca="1" si="335">IF(I821&gt;0,J821*100/I821,0)</f>
        <v>66.92395109703989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9">
      <c r="A822" s="689"/>
      <c r="B822" s="542"/>
      <c r="C822" s="542"/>
      <c r="D822" s="541"/>
      <c r="E822" s="542"/>
      <c r="F822" s="542"/>
      <c r="G822" s="186"/>
      <c r="H822" s="36" t="s">
        <v>35</v>
      </c>
      <c r="I822" s="37">
        <f ca="1">IFERROR(__xludf.DUMMYFUNCTION("IMPORTRANGE(""https://docs.google.com/spreadsheets/d/19vJNZY_5yjcGF2XGBMNZRCAIB0Kwfpjp8YEOfu-bneM/edit?usp=sharing"",""งานกองทุน!C82"")"),149)</f>
        <v>149</v>
      </c>
      <c r="J822" s="37">
        <f ca="1">IFERROR(__xludf.DUMMYFUNCTION("IMPORTRANGE(""https://docs.google.com/spreadsheets/d/19vJNZY_5yjcGF2XGBMNZRCAIB0Kwfpjp8YEOfu-bneM/edit?usp=sharing"",""งานกองทุน!E82"")"),93)</f>
        <v>93</v>
      </c>
      <c r="K822" s="38">
        <f t="shared" ca="1" si="335"/>
        <v>62.416107382550337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9">
      <c r="A823" s="689"/>
      <c r="B823" s="542" t="s">
        <v>327</v>
      </c>
      <c r="C823" s="542"/>
      <c r="D823" s="541"/>
      <c r="E823" s="542"/>
      <c r="F823" s="542"/>
      <c r="G823" s="186"/>
      <c r="H823" s="36" t="s">
        <v>12</v>
      </c>
      <c r="I823" s="37">
        <f ca="1">IFERROR(__xludf.DUMMYFUNCTION("IMPORTRANGE(""https://docs.google.com/spreadsheets/d/19vJNZY_5yjcGF2XGBMNZRCAIB0Kwfpjp8YEOfu-bneM/edit?usp=sharing"",""งานกองทุน!I82"")"),794344.6)</f>
        <v>794344.6</v>
      </c>
      <c r="J823" s="37">
        <f ca="1">IFERROR(__xludf.DUMMYFUNCTION("IMPORTRANGE(""https://docs.google.com/spreadsheets/d/19vJNZY_5yjcGF2XGBMNZRCAIB0Kwfpjp8YEOfu-bneM/edit?usp=sharing"",""งานกองทุน!K82"")"),102476.66)</f>
        <v>102476.66</v>
      </c>
      <c r="K823" s="38">
        <f t="shared" ca="1" si="335"/>
        <v>12.900781348548225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9">
      <c r="A824" s="689"/>
      <c r="B824" s="542"/>
      <c r="C824" s="542"/>
      <c r="D824" s="541"/>
      <c r="E824" s="542"/>
      <c r="F824" s="542"/>
      <c r="G824" s="186"/>
      <c r="H824" s="36" t="s">
        <v>35</v>
      </c>
      <c r="I824" s="37">
        <f ca="1">IFERROR(__xludf.DUMMYFUNCTION("IMPORTRANGE(""https://docs.google.com/spreadsheets/d/19vJNZY_5yjcGF2XGBMNZRCAIB0Kwfpjp8YEOfu-bneM/edit?usp=sharing"",""งานกองทุน!H82"")"),55)</f>
        <v>55</v>
      </c>
      <c r="J824" s="37">
        <f ca="1">IFERROR(__xludf.DUMMYFUNCTION("IMPORTRANGE(""https://docs.google.com/spreadsheets/d/19vJNZY_5yjcGF2XGBMNZRCAIB0Kwfpjp8YEOfu-bneM/edit?usp=sharing"",""งานกองทุน!J82"")"),33)</f>
        <v>33</v>
      </c>
      <c r="K824" s="38">
        <f t="shared" ca="1" si="335"/>
        <v>60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9">
      <c r="A825" s="689"/>
      <c r="B825" s="542" t="s">
        <v>328</v>
      </c>
      <c r="C825" s="542"/>
      <c r="D825" s="541"/>
      <c r="E825" s="542"/>
      <c r="F825" s="542"/>
      <c r="G825" s="186"/>
      <c r="H825" s="36" t="s">
        <v>12</v>
      </c>
      <c r="I825" s="37">
        <f ca="1">IFERROR(__xludf.DUMMYFUNCTION("IMPORTRANGE(""https://docs.google.com/spreadsheets/d/19vJNZY_5yjcGF2XGBMNZRCAIB0Kwfpjp8YEOfu-bneM/edit?usp=sharing"",""งานกองทุน!N82"")"),0)</f>
        <v>0</v>
      </c>
      <c r="J825" s="37">
        <f ca="1">IFERROR(__xludf.DUMMYFUNCTION("IMPORTRANGE(""https://docs.google.com/spreadsheets/d/19vJNZY_5yjcGF2XGBMNZRCAIB0Kwfpjp8YEOfu-bneM/edit?usp=sharing"",""งานกองทุน!P82"")"),0)</f>
        <v>0</v>
      </c>
      <c r="K825" s="38">
        <f t="shared" ca="1" si="335"/>
        <v>0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9">
      <c r="A826" s="689"/>
      <c r="B826" s="542"/>
      <c r="C826" s="542"/>
      <c r="D826" s="541"/>
      <c r="E826" s="542"/>
      <c r="F826" s="542"/>
      <c r="G826" s="186"/>
      <c r="H826" s="36" t="s">
        <v>35</v>
      </c>
      <c r="I826" s="37">
        <f ca="1">IFERROR(__xludf.DUMMYFUNCTION("IMPORTRANGE(""https://docs.google.com/spreadsheets/d/19vJNZY_5yjcGF2XGBMNZRCAIB0Kwfpjp8YEOfu-bneM/edit?usp=sharing"",""งานกองทุน!M82"")"),0)</f>
        <v>0</v>
      </c>
      <c r="J826" s="37">
        <f ca="1">IFERROR(__xludf.DUMMYFUNCTION("IMPORTRANGE(""https://docs.google.com/spreadsheets/d/19vJNZY_5yjcGF2XGBMNZRCAIB0Kwfpjp8YEOfu-bneM/edit?usp=sharing"",""งานกองทุน!O82"")"),0)</f>
        <v>0</v>
      </c>
      <c r="K826" s="38">
        <f t="shared" ca="1" si="335"/>
        <v>0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9">
      <c r="A827" s="689"/>
      <c r="B827" s="542" t="s">
        <v>329</v>
      </c>
      <c r="C827" s="542"/>
      <c r="D827" s="541"/>
      <c r="E827" s="542"/>
      <c r="F827" s="542"/>
      <c r="G827" s="186"/>
      <c r="H827" s="36" t="s">
        <v>12</v>
      </c>
      <c r="I827" s="37">
        <f ca="1">IFERROR(__xludf.DUMMYFUNCTION("IMPORTRANGE(""https://docs.google.com/spreadsheets/d/19vJNZY_5yjcGF2XGBMNZRCAIB0Kwfpjp8YEOfu-bneM/edit?usp=sharing"",""งานกองทุน!S82"")"),1375000)</f>
        <v>1375000</v>
      </c>
      <c r="J827" s="37">
        <f ca="1">IFERROR(__xludf.DUMMYFUNCTION("IMPORTRANGE(""https://docs.google.com/spreadsheets/d/19vJNZY_5yjcGF2XGBMNZRCAIB0Kwfpjp8YEOfu-bneM/edit?usp=sharing"",""งานกองทุน!U82"")"),1375000)</f>
        <v>1375000</v>
      </c>
      <c r="K827" s="38">
        <f t="shared" ca="1" si="335"/>
        <v>100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9">
      <c r="A828" s="690"/>
      <c r="B828" s="692"/>
      <c r="C828" s="692"/>
      <c r="D828" s="691"/>
      <c r="E828" s="692"/>
      <c r="F828" s="692"/>
      <c r="G828" s="761"/>
      <c r="H828" s="762" t="s">
        <v>35</v>
      </c>
      <c r="I828" s="365">
        <f ca="1">IFERROR(__xludf.DUMMYFUNCTION("IMPORTRANGE(""https://docs.google.com/spreadsheets/d/19vJNZY_5yjcGF2XGBMNZRCAIB0Kwfpjp8YEOfu-bneM/edit?usp=sharing"",""งานกองทุน!R82"")"),46)</f>
        <v>46</v>
      </c>
      <c r="J828" s="365">
        <f ca="1">IFERROR(__xludf.DUMMYFUNCTION("IMPORTRANGE(""https://docs.google.com/spreadsheets/d/19vJNZY_5yjcGF2XGBMNZRCAIB0Kwfpjp8YEOfu-bneM/edit?usp=sharing"",""งานกองทุน!T82"")"),46)</f>
        <v>46</v>
      </c>
      <c r="K828" s="475">
        <f t="shared" ca="1" si="335"/>
        <v>100</v>
      </c>
      <c r="L828" s="475"/>
      <c r="M828" s="475"/>
      <c r="N828" s="475"/>
      <c r="O828" s="475"/>
      <c r="P828" s="475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dcterms:modified xsi:type="dcterms:W3CDTF">2023-08-05T18:05:51Z</dcterms:modified>
</cp:coreProperties>
</file>